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320" windowHeight="15480"/>
  </bookViews>
  <sheets>
    <sheet name="с индекс. 103,9 %" sheetId="10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1" i="10" l="1"/>
  <c r="X772" i="10"/>
  <c r="X770" i="10"/>
  <c r="X685" i="10"/>
  <c r="X684" i="10"/>
  <c r="X515" i="10"/>
  <c r="X430" i="10"/>
  <c r="X417" i="10"/>
  <c r="X406" i="10"/>
  <c r="X375" i="10"/>
  <c r="X284" i="10"/>
  <c r="X200" i="10"/>
  <c r="X144" i="10"/>
  <c r="X85" i="10"/>
  <c r="X58" i="10"/>
  <c r="X57" i="10"/>
  <c r="X45" i="10"/>
  <c r="X458" i="10"/>
  <c r="X584" i="10"/>
  <c r="X484" i="10"/>
  <c r="X645" i="10"/>
  <c r="X644" i="10"/>
  <c r="X643" i="10"/>
  <c r="X642" i="10"/>
  <c r="X641" i="10"/>
  <c r="X640" i="10"/>
  <c r="X639" i="10"/>
  <c r="X638" i="10"/>
  <c r="X637" i="10"/>
  <c r="X635" i="10"/>
  <c r="X634" i="10"/>
  <c r="X633" i="10"/>
  <c r="X632" i="10"/>
  <c r="X631" i="10"/>
  <c r="X630" i="10"/>
  <c r="X629" i="10"/>
  <c r="X625" i="10"/>
  <c r="X647" i="10"/>
  <c r="X657" i="10"/>
  <c r="X655" i="10"/>
  <c r="X654" i="10"/>
  <c r="X653" i="10"/>
  <c r="X652" i="10"/>
  <c r="X651" i="10"/>
  <c r="X650" i="10"/>
  <c r="X649" i="10"/>
  <c r="X648" i="10"/>
  <c r="X670" i="10"/>
  <c r="X669" i="10"/>
  <c r="X668" i="10"/>
  <c r="X667" i="10"/>
  <c r="X666" i="10"/>
  <c r="X660" i="10"/>
  <c r="X661" i="10"/>
  <c r="X662" i="10"/>
  <c r="X663" i="10"/>
  <c r="X664" i="10"/>
  <c r="X665" i="10"/>
  <c r="X659" i="10"/>
  <c r="X673" i="10"/>
  <c r="X674" i="10"/>
  <c r="X672" i="10"/>
  <c r="X682" i="10"/>
  <c r="X681" i="10"/>
  <c r="X679" i="10"/>
  <c r="X680" i="10"/>
  <c r="X678" i="10"/>
  <c r="X677" i="10"/>
  <c r="X686" i="10"/>
  <c r="X687" i="10"/>
  <c r="X706" i="10"/>
  <c r="X707" i="10"/>
  <c r="X717" i="10"/>
  <c r="X725" i="10"/>
  <c r="X727" i="10"/>
  <c r="X778" i="10"/>
  <c r="X777" i="10"/>
  <c r="X776" i="10"/>
  <c r="X775" i="10"/>
  <c r="X774" i="10"/>
  <c r="X771" i="10"/>
  <c r="X769" i="10"/>
  <c r="X768" i="10"/>
  <c r="X766" i="10"/>
  <c r="X765" i="10"/>
  <c r="X764" i="10"/>
  <c r="X763" i="10"/>
  <c r="X762" i="10"/>
  <c r="X761" i="10"/>
  <c r="X759" i="10"/>
  <c r="X758" i="10"/>
  <c r="X756" i="10"/>
  <c r="X755" i="10"/>
  <c r="X754" i="10"/>
  <c r="X753" i="10"/>
  <c r="X752" i="10"/>
  <c r="X751" i="10"/>
  <c r="X750" i="10"/>
  <c r="X749" i="10"/>
  <c r="X748" i="10"/>
  <c r="X747" i="10"/>
  <c r="X779" i="10"/>
  <c r="X780" i="10"/>
  <c r="X731" i="10" l="1"/>
  <c r="X730" i="10"/>
  <c r="X729" i="10"/>
  <c r="X728" i="10"/>
  <c r="X726" i="10"/>
  <c r="X724" i="10"/>
  <c r="X723" i="10"/>
  <c r="X722" i="10"/>
  <c r="X721" i="10"/>
  <c r="X720" i="10"/>
  <c r="X716" i="10"/>
  <c r="X715" i="10"/>
  <c r="X713" i="10"/>
  <c r="X712" i="10"/>
  <c r="X711" i="10"/>
  <c r="X709" i="10"/>
  <c r="X710" i="10"/>
  <c r="X708" i="10"/>
  <c r="X691" i="10"/>
  <c r="X692" i="10"/>
  <c r="X693" i="10"/>
  <c r="X694" i="10"/>
  <c r="X695" i="10"/>
  <c r="X696" i="10"/>
  <c r="X697" i="10"/>
  <c r="X698" i="10"/>
  <c r="X699" i="10"/>
  <c r="X700" i="10"/>
  <c r="X701" i="10"/>
  <c r="X702" i="10"/>
  <c r="X703" i="10"/>
  <c r="X704" i="10"/>
  <c r="X705" i="10"/>
  <c r="X690" i="10"/>
  <c r="X735" i="10"/>
  <c r="X736" i="10"/>
  <c r="X737" i="10"/>
  <c r="X738" i="10"/>
  <c r="X739" i="10"/>
  <c r="X740" i="10"/>
  <c r="X741" i="10"/>
  <c r="X742" i="10"/>
  <c r="X743" i="10"/>
  <c r="X744" i="10"/>
  <c r="X745" i="10"/>
  <c r="X734" i="10"/>
  <c r="X781" i="10"/>
  <c r="X784" i="10"/>
  <c r="X785" i="10"/>
  <c r="X786" i="10"/>
  <c r="X787" i="10"/>
  <c r="X822" i="10"/>
  <c r="X823" i="10"/>
  <c r="X824" i="10"/>
  <c r="X825" i="10"/>
  <c r="X821" i="10"/>
  <c r="X819" i="10"/>
  <c r="X818" i="10"/>
  <c r="X811" i="10"/>
  <c r="X812" i="10"/>
  <c r="X813" i="10"/>
  <c r="X814" i="10"/>
  <c r="X815" i="10"/>
  <c r="X816" i="10"/>
  <c r="X809" i="10"/>
  <c r="X808" i="10"/>
  <c r="X806" i="10"/>
  <c r="X804" i="10"/>
  <c r="X628" i="10"/>
  <c r="X626" i="10"/>
  <c r="X624" i="10"/>
  <c r="X623" i="10"/>
  <c r="X621" i="10"/>
  <c r="X620" i="10"/>
  <c r="X585" i="10"/>
  <c r="X514" i="10"/>
  <c r="X507" i="10"/>
  <c r="X480" i="10"/>
  <c r="X453" i="10"/>
  <c r="X447" i="10"/>
  <c r="X345" i="10"/>
  <c r="X827" i="10" l="1"/>
  <c r="X799" i="10"/>
  <c r="X798" i="10"/>
  <c r="X797" i="10"/>
  <c r="X796" i="10"/>
  <c r="X795" i="10"/>
  <c r="X794" i="10"/>
  <c r="X792" i="10"/>
  <c r="X790" i="10"/>
  <c r="X789" i="10"/>
  <c r="X788" i="10"/>
  <c r="X619" i="10"/>
  <c r="X618" i="10"/>
  <c r="X617" i="10"/>
  <c r="X616" i="10"/>
  <c r="X613" i="10"/>
  <c r="X605" i="10"/>
  <c r="X606" i="10"/>
  <c r="X607" i="10"/>
  <c r="X608" i="10"/>
  <c r="X609" i="10"/>
  <c r="X610" i="10"/>
  <c r="X611" i="10"/>
  <c r="X612" i="10"/>
  <c r="X604" i="10"/>
  <c r="X599" i="10"/>
  <c r="X600" i="10"/>
  <c r="X601" i="10"/>
  <c r="X602" i="10"/>
  <c r="X598" i="10"/>
  <c r="X597" i="10"/>
  <c r="X595" i="10"/>
  <c r="X594" i="10"/>
  <c r="X593" i="10"/>
  <c r="X592" i="10"/>
  <c r="X591" i="10"/>
  <c r="X590" i="10"/>
  <c r="X589" i="10"/>
  <c r="X588" i="10"/>
  <c r="X587" i="10"/>
  <c r="X586" i="10"/>
  <c r="X583" i="10"/>
  <c r="X582" i="10"/>
  <c r="X581" i="10"/>
  <c r="X580" i="10"/>
  <c r="X578" i="10"/>
  <c r="X577" i="10"/>
  <c r="X576" i="10"/>
  <c r="X575" i="10"/>
  <c r="X574" i="10"/>
  <c r="X570" i="10"/>
  <c r="X567" i="10"/>
  <c r="X566" i="10"/>
  <c r="X565" i="10"/>
  <c r="X559" i="10"/>
  <c r="X558" i="10"/>
  <c r="X557" i="10"/>
  <c r="X556" i="10"/>
  <c r="X555" i="10"/>
  <c r="X554" i="10"/>
  <c r="X553" i="10"/>
  <c r="X550" i="10"/>
  <c r="X548" i="10"/>
  <c r="X547" i="10"/>
  <c r="X546" i="10"/>
  <c r="X544" i="10"/>
  <c r="X543" i="10"/>
  <c r="X542" i="10"/>
  <c r="X541" i="10"/>
  <c r="X540" i="10"/>
  <c r="X539" i="10"/>
  <c r="X538" i="10"/>
  <c r="X536" i="10"/>
  <c r="X535" i="10"/>
  <c r="X533" i="10"/>
  <c r="X532" i="10"/>
  <c r="X530" i="10"/>
  <c r="X529" i="10"/>
  <c r="X528" i="10"/>
  <c r="X527" i="10"/>
  <c r="X524" i="10"/>
  <c r="X523" i="10"/>
  <c r="X522" i="10"/>
  <c r="X521" i="10"/>
  <c r="X520" i="10"/>
  <c r="X519" i="10"/>
  <c r="X513" i="10"/>
  <c r="X512" i="10"/>
  <c r="X511" i="10"/>
  <c r="X510" i="10"/>
  <c r="X509" i="10"/>
  <c r="X508" i="10"/>
  <c r="X506" i="10"/>
  <c r="X505" i="10"/>
  <c r="X504" i="10"/>
  <c r="X502" i="10"/>
  <c r="X501" i="10"/>
  <c r="X500" i="10"/>
  <c r="X499" i="10"/>
  <c r="X498" i="10"/>
  <c r="X497" i="10"/>
  <c r="X496" i="10"/>
  <c r="X495" i="10"/>
  <c r="X493" i="10"/>
  <c r="X492" i="10"/>
  <c r="X491" i="10"/>
  <c r="X490" i="10"/>
  <c r="X489" i="10"/>
  <c r="X488" i="10"/>
  <c r="X487" i="10"/>
  <c r="X486" i="10"/>
  <c r="X485" i="10"/>
  <c r="X483" i="10"/>
  <c r="X482" i="10"/>
  <c r="X479" i="10"/>
  <c r="X478" i="10"/>
  <c r="X477" i="10"/>
  <c r="X476" i="10"/>
  <c r="X474" i="10"/>
  <c r="X473" i="10"/>
  <c r="X471" i="10"/>
  <c r="X470" i="10"/>
  <c r="X469" i="10"/>
  <c r="X467" i="10"/>
  <c r="X466" i="10"/>
  <c r="X465" i="10"/>
  <c r="X464" i="10"/>
  <c r="X463" i="10"/>
  <c r="X462" i="10"/>
  <c r="X461" i="10"/>
  <c r="X460" i="10"/>
  <c r="X457" i="10"/>
  <c r="X456" i="10"/>
  <c r="X455" i="10"/>
  <c r="X454" i="10"/>
  <c r="X452" i="10"/>
  <c r="X451" i="10"/>
  <c r="X450" i="10"/>
  <c r="X448" i="10"/>
  <c r="X446" i="10"/>
  <c r="X445" i="10"/>
  <c r="X444" i="10"/>
  <c r="X443" i="10"/>
  <c r="X442" i="10"/>
  <c r="X440" i="10"/>
  <c r="X439" i="10"/>
  <c r="X438" i="10"/>
  <c r="X436" i="10"/>
  <c r="X435" i="10"/>
  <c r="X433" i="10"/>
  <c r="X432" i="10"/>
  <c r="X431" i="10"/>
  <c r="X429" i="10"/>
  <c r="X428" i="10"/>
  <c r="X426" i="10"/>
  <c r="X425" i="10"/>
  <c r="X424" i="10"/>
  <c r="X423" i="10"/>
  <c r="X422" i="10"/>
  <c r="X421" i="10"/>
  <c r="X420" i="10"/>
  <c r="X419" i="10"/>
  <c r="X418" i="10"/>
  <c r="X416" i="10"/>
  <c r="X415" i="10"/>
  <c r="X414" i="10"/>
  <c r="X413" i="10"/>
  <c r="X412" i="10"/>
  <c r="X411" i="10"/>
  <c r="X410" i="10"/>
  <c r="X408" i="10"/>
  <c r="X407" i="10"/>
  <c r="X405" i="10"/>
  <c r="X404" i="10"/>
  <c r="X403" i="10"/>
  <c r="X402" i="10"/>
  <c r="X401" i="10"/>
  <c r="X400" i="10"/>
  <c r="X399" i="10"/>
  <c r="X398" i="10"/>
  <c r="X397" i="10"/>
  <c r="X396" i="10"/>
  <c r="X395" i="10"/>
  <c r="X394" i="10"/>
  <c r="X387" i="10"/>
  <c r="X385" i="10"/>
  <c r="X384" i="10"/>
  <c r="X383" i="10"/>
  <c r="X382" i="10"/>
  <c r="X381" i="10"/>
  <c r="X380" i="10"/>
  <c r="X378" i="10"/>
  <c r="X377" i="10"/>
  <c r="X376" i="10"/>
  <c r="X374" i="10"/>
  <c r="X373" i="10"/>
  <c r="X372" i="10"/>
  <c r="X371" i="10"/>
  <c r="X367" i="10"/>
  <c r="X366" i="10"/>
  <c r="X365" i="10"/>
  <c r="X364" i="10"/>
  <c r="X363" i="10"/>
  <c r="X362" i="10"/>
  <c r="X361" i="10"/>
  <c r="X360" i="10"/>
  <c r="X358" i="10"/>
  <c r="X357" i="10"/>
  <c r="X356" i="10"/>
  <c r="X354" i="10"/>
  <c r="X352" i="10"/>
  <c r="X350" i="10"/>
  <c r="X349" i="10"/>
  <c r="X348" i="10"/>
  <c r="X347" i="10"/>
  <c r="X344" i="10"/>
  <c r="X343" i="10"/>
  <c r="X342" i="10"/>
  <c r="X341" i="10"/>
  <c r="X340" i="10"/>
  <c r="X339" i="10"/>
  <c r="X338" i="10"/>
  <c r="X337" i="10"/>
  <c r="X336" i="10"/>
  <c r="X335" i="10"/>
  <c r="X334" i="10"/>
  <c r="X333" i="10"/>
  <c r="X221" i="10"/>
  <c r="X218" i="10"/>
  <c r="X65" i="10"/>
  <c r="X63" i="10"/>
  <c r="X50" i="10"/>
  <c r="X39" i="10" l="1"/>
  <c r="X25" i="10"/>
  <c r="X332" i="10"/>
  <c r="X331" i="10"/>
  <c r="X330" i="10"/>
  <c r="X329" i="10"/>
  <c r="X328" i="10"/>
  <c r="X326" i="10"/>
  <c r="X325" i="10"/>
  <c r="X324" i="10"/>
  <c r="X322" i="10"/>
  <c r="X321" i="10"/>
  <c r="X320" i="10"/>
  <c r="X319" i="10"/>
  <c r="X318" i="10"/>
  <c r="X316" i="10"/>
  <c r="X315" i="10"/>
  <c r="X314" i="10"/>
  <c r="X313" i="10"/>
  <c r="X312" i="10"/>
  <c r="X310" i="10"/>
  <c r="X309" i="10"/>
  <c r="X308" i="10"/>
  <c r="X304" i="10"/>
  <c r="X303" i="10"/>
  <c r="X302" i="10"/>
  <c r="X301" i="10"/>
  <c r="X299" i="10"/>
  <c r="X298" i="10"/>
  <c r="X296" i="10"/>
  <c r="X295" i="10"/>
  <c r="X293" i="10"/>
  <c r="X292" i="10"/>
  <c r="X291" i="10"/>
  <c r="X290" i="10"/>
  <c r="X289" i="10"/>
  <c r="X287" i="10"/>
  <c r="X286" i="10"/>
  <c r="X285" i="10"/>
  <c r="X283" i="10"/>
  <c r="X282" i="10"/>
  <c r="X280" i="10"/>
  <c r="X279" i="10"/>
  <c r="X274" i="10"/>
  <c r="X273" i="10"/>
  <c r="X272" i="10"/>
  <c r="X266" i="10"/>
  <c r="X265" i="10"/>
  <c r="X264" i="10"/>
  <c r="X263" i="10"/>
  <c r="X261" i="10"/>
  <c r="X260" i="10"/>
  <c r="X259" i="10"/>
  <c r="X258" i="10"/>
  <c r="X257" i="10"/>
  <c r="X256" i="10"/>
  <c r="X255" i="10"/>
  <c r="X254" i="10"/>
  <c r="X252" i="10"/>
  <c r="X251" i="10"/>
  <c r="X250" i="10"/>
  <c r="X248" i="10"/>
  <c r="X247" i="10"/>
  <c r="X246" i="10"/>
  <c r="X245" i="10"/>
  <c r="X244" i="10"/>
  <c r="X243" i="10"/>
  <c r="X242" i="10"/>
  <c r="X241" i="10"/>
  <c r="X240" i="10"/>
  <c r="X239" i="10"/>
  <c r="X238" i="10"/>
  <c r="X237" i="10"/>
  <c r="X236" i="10"/>
  <c r="X235" i="10"/>
  <c r="X234" i="10"/>
  <c r="X233" i="10"/>
  <c r="X232" i="10"/>
  <c r="X231" i="10"/>
  <c r="X230" i="10"/>
  <c r="X229" i="10"/>
  <c r="X227" i="10"/>
  <c r="X226" i="10"/>
  <c r="X225" i="10"/>
  <c r="X224" i="10"/>
  <c r="X223" i="10"/>
  <c r="X220" i="10"/>
  <c r="X217" i="10"/>
  <c r="X215" i="10"/>
  <c r="X214" i="10"/>
  <c r="X213" i="10"/>
  <c r="X211" i="10"/>
  <c r="X210" i="10"/>
  <c r="X208" i="10"/>
  <c r="X207" i="10"/>
  <c r="X206" i="10"/>
  <c r="X205" i="10"/>
  <c r="X203" i="10"/>
  <c r="X202" i="10"/>
  <c r="X201" i="10"/>
  <c r="X199" i="10"/>
  <c r="X198" i="10"/>
  <c r="X197" i="10"/>
  <c r="X195" i="10"/>
  <c r="X194" i="10"/>
  <c r="X193" i="10"/>
  <c r="X191" i="10"/>
  <c r="X190" i="10"/>
  <c r="X188" i="10"/>
  <c r="X187" i="10"/>
  <c r="X185" i="10"/>
  <c r="X184" i="10"/>
  <c r="X182" i="10"/>
  <c r="X181" i="10"/>
  <c r="X180" i="10"/>
  <c r="X179" i="10"/>
  <c r="X177" i="10"/>
  <c r="X176" i="10"/>
  <c r="X175" i="10"/>
  <c r="X174" i="10"/>
  <c r="X172" i="10"/>
  <c r="X171" i="10"/>
  <c r="X170" i="10"/>
  <c r="X168" i="10"/>
  <c r="X167" i="10"/>
  <c r="X165" i="10"/>
  <c r="X164" i="10"/>
  <c r="X163" i="10"/>
  <c r="X161" i="10"/>
  <c r="X160" i="10"/>
  <c r="X158" i="10"/>
  <c r="X157" i="10"/>
  <c r="X155" i="10"/>
  <c r="X154" i="10"/>
  <c r="X152" i="10"/>
  <c r="X151" i="10"/>
  <c r="X150" i="10"/>
  <c r="X148" i="10"/>
  <c r="X147" i="10"/>
  <c r="X145" i="10"/>
  <c r="X142" i="10"/>
  <c r="X141" i="10"/>
  <c r="X140" i="10"/>
  <c r="X139" i="10"/>
  <c r="X137" i="10"/>
  <c r="X136" i="10"/>
  <c r="X135" i="10"/>
  <c r="X134" i="10"/>
  <c r="X133" i="10"/>
  <c r="X132" i="10"/>
  <c r="X130" i="10"/>
  <c r="X129" i="10"/>
  <c r="X128" i="10"/>
  <c r="X126" i="10"/>
  <c r="X125" i="10"/>
  <c r="X124" i="10"/>
  <c r="X122" i="10"/>
  <c r="X121" i="10"/>
  <c r="X120" i="10"/>
  <c r="X118" i="10"/>
  <c r="X117" i="10"/>
  <c r="X116" i="10"/>
  <c r="X115" i="10"/>
  <c r="X114" i="10"/>
  <c r="X113" i="10"/>
  <c r="X111" i="10"/>
  <c r="X110" i="10"/>
  <c r="X109" i="10"/>
  <c r="X108" i="10"/>
  <c r="X107" i="10"/>
  <c r="X106" i="10"/>
  <c r="X105" i="10"/>
  <c r="X103" i="10"/>
  <c r="X102" i="10"/>
  <c r="X101" i="10"/>
  <c r="X99" i="10"/>
  <c r="X98" i="10"/>
  <c r="X97" i="10"/>
  <c r="X96" i="10"/>
  <c r="X95" i="10"/>
  <c r="X93" i="10"/>
  <c r="X91" i="10"/>
  <c r="X90" i="10"/>
  <c r="X89" i="10"/>
  <c r="X88" i="10"/>
  <c r="X87" i="10"/>
  <c r="X86" i="10"/>
  <c r="X84" i="10"/>
  <c r="X83" i="10"/>
  <c r="X82" i="10"/>
  <c r="X81" i="10"/>
  <c r="X80" i="10"/>
  <c r="X79" i="10"/>
  <c r="X78" i="10"/>
  <c r="X77" i="10"/>
  <c r="X76" i="10"/>
  <c r="X75" i="10"/>
  <c r="X74" i="10"/>
  <c r="X73" i="10"/>
  <c r="X72" i="10"/>
  <c r="X71" i="10"/>
  <c r="X70" i="10"/>
  <c r="X69" i="10"/>
  <c r="X68" i="10"/>
  <c r="X67" i="10"/>
  <c r="X66" i="10"/>
  <c r="X64" i="10"/>
  <c r="X62" i="10"/>
  <c r="X61" i="10"/>
  <c r="X60" i="10"/>
  <c r="X59" i="10"/>
  <c r="X56" i="10"/>
  <c r="X55" i="10"/>
  <c r="X49" i="10"/>
  <c r="X48" i="10"/>
  <c r="X47" i="10"/>
  <c r="X44" i="10"/>
  <c r="X43" i="10"/>
  <c r="X42" i="10"/>
  <c r="X40" i="10"/>
  <c r="X38" i="10"/>
  <c r="X37" i="10"/>
  <c r="X35" i="10"/>
  <c r="X34" i="10"/>
  <c r="X33" i="10"/>
  <c r="X32" i="10" l="1"/>
  <c r="X31" i="10"/>
  <c r="X30" i="10"/>
  <c r="X29" i="10"/>
  <c r="X27" i="10"/>
  <c r="X26" i="10"/>
  <c r="X24" i="10"/>
  <c r="X23" i="10"/>
  <c r="R524" i="10" l="1"/>
  <c r="N594" i="10" l="1"/>
  <c r="L594" i="10" s="1"/>
  <c r="J594" i="10" s="1"/>
  <c r="H594" i="10" s="1"/>
  <c r="V594" i="10" s="1"/>
  <c r="W594" i="10" s="1"/>
  <c r="J256" i="10" l="1"/>
  <c r="H256" i="10" s="1"/>
  <c r="E256" i="10"/>
  <c r="F256" i="10" s="1"/>
  <c r="J255" i="10"/>
  <c r="H255" i="10" s="1"/>
  <c r="E255" i="10"/>
  <c r="F255" i="10" s="1"/>
  <c r="J254" i="10"/>
  <c r="H254" i="10" s="1"/>
  <c r="E254" i="10"/>
  <c r="F254" i="10" s="1"/>
  <c r="J799" i="10" l="1"/>
  <c r="H799" i="10" s="1"/>
  <c r="V799" i="10" s="1"/>
  <c r="W799" i="10" s="1"/>
  <c r="J797" i="10"/>
  <c r="H797" i="10" s="1"/>
  <c r="V797" i="10" s="1"/>
  <c r="W797" i="10" s="1"/>
  <c r="J796" i="10"/>
  <c r="H796" i="10" s="1"/>
  <c r="V796" i="10" s="1"/>
  <c r="W796" i="10" s="1"/>
  <c r="J795" i="10"/>
  <c r="H795" i="10" s="1"/>
  <c r="V795" i="10" s="1"/>
  <c r="W795" i="10" s="1"/>
  <c r="J794" i="10"/>
  <c r="H794" i="10" s="1"/>
  <c r="V794" i="10" s="1"/>
  <c r="W794" i="10" s="1"/>
  <c r="J792" i="10"/>
  <c r="H792" i="10" s="1"/>
  <c r="V792" i="10" s="1"/>
  <c r="W792" i="10" s="1"/>
  <c r="J785" i="10"/>
  <c r="H785" i="10" s="1"/>
  <c r="V785" i="10" s="1"/>
  <c r="W785" i="10" s="1"/>
  <c r="J784" i="10"/>
  <c r="H784" i="10" s="1"/>
  <c r="V784" i="10" s="1"/>
  <c r="W784" i="10" s="1"/>
  <c r="N777" i="10"/>
  <c r="J776" i="10"/>
  <c r="H776" i="10" s="1"/>
  <c r="V776" i="10" s="1"/>
  <c r="W776" i="10" s="1"/>
  <c r="R772" i="10"/>
  <c r="J772" i="10"/>
  <c r="H772" i="10" s="1"/>
  <c r="V772" i="10" s="1"/>
  <c r="W772" i="10" s="1"/>
  <c r="S771" i="10"/>
  <c r="P771" i="10"/>
  <c r="N771" i="10" s="1"/>
  <c r="J771" i="10"/>
  <c r="H771" i="10" s="1"/>
  <c r="V771" i="10" s="1"/>
  <c r="J770" i="10"/>
  <c r="H770" i="10" s="1"/>
  <c r="V770" i="10" s="1"/>
  <c r="W770" i="10" s="1"/>
  <c r="S769" i="10"/>
  <c r="P769" i="10"/>
  <c r="N769" i="10" s="1"/>
  <c r="J769" i="10"/>
  <c r="H769" i="10" s="1"/>
  <c r="V769" i="10" s="1"/>
  <c r="S768" i="10"/>
  <c r="P768" i="10"/>
  <c r="N768" i="10" s="1"/>
  <c r="J768" i="10"/>
  <c r="H768" i="10" s="1"/>
  <c r="V768" i="10" s="1"/>
  <c r="U768" i="10" s="1"/>
  <c r="S766" i="10"/>
  <c r="R766" i="10" s="1"/>
  <c r="P766" i="10" s="1"/>
  <c r="N766" i="10" s="1"/>
  <c r="J766" i="10"/>
  <c r="H766" i="10" s="1"/>
  <c r="V766" i="10" s="1"/>
  <c r="S765" i="10"/>
  <c r="R765" i="10" s="1"/>
  <c r="P765" i="10" s="1"/>
  <c r="N765" i="10" s="1"/>
  <c r="J765" i="10"/>
  <c r="H765" i="10" s="1"/>
  <c r="V765" i="10" s="1"/>
  <c r="S764" i="10"/>
  <c r="P764" i="10"/>
  <c r="N764" i="10" s="1"/>
  <c r="J764" i="10"/>
  <c r="H764" i="10" s="1"/>
  <c r="V764" i="10" s="1"/>
  <c r="U764" i="10" s="1"/>
  <c r="S763" i="10"/>
  <c r="P763" i="10"/>
  <c r="N763" i="10" s="1"/>
  <c r="J763" i="10"/>
  <c r="H763" i="10" s="1"/>
  <c r="V763" i="10" s="1"/>
  <c r="D763" i="10"/>
  <c r="E763" i="10" s="1"/>
  <c r="F763" i="10" s="1"/>
  <c r="S762" i="10"/>
  <c r="P762" i="10"/>
  <c r="N762" i="10" s="1"/>
  <c r="J762" i="10"/>
  <c r="H762" i="10" s="1"/>
  <c r="V762" i="10" s="1"/>
  <c r="D762" i="10"/>
  <c r="E762" i="10" s="1"/>
  <c r="F762" i="10" s="1"/>
  <c r="S761" i="10"/>
  <c r="P761" i="10"/>
  <c r="N761" i="10" s="1"/>
  <c r="J761" i="10"/>
  <c r="H761" i="10" s="1"/>
  <c r="V761" i="10" s="1"/>
  <c r="D761" i="10"/>
  <c r="E761" i="10" s="1"/>
  <c r="F761" i="10" s="1"/>
  <c r="U760" i="10"/>
  <c r="S760" i="10"/>
  <c r="P760" i="10"/>
  <c r="N760" i="10" s="1"/>
  <c r="S759" i="10"/>
  <c r="P759" i="10"/>
  <c r="N759" i="10" s="1"/>
  <c r="L759" i="10" s="1"/>
  <c r="J759" i="10" s="1"/>
  <c r="H759" i="10" s="1"/>
  <c r="V759" i="10" s="1"/>
  <c r="E759" i="10"/>
  <c r="S758" i="10"/>
  <c r="P758" i="10"/>
  <c r="N758" i="10" s="1"/>
  <c r="L758" i="10" s="1"/>
  <c r="J758" i="10" s="1"/>
  <c r="H758" i="10" s="1"/>
  <c r="V758" i="10" s="1"/>
  <c r="E758" i="10"/>
  <c r="H756" i="10"/>
  <c r="V756" i="10" s="1"/>
  <c r="W756" i="10" s="1"/>
  <c r="H755" i="10"/>
  <c r="V755" i="10" s="1"/>
  <c r="W755" i="10" s="1"/>
  <c r="H754" i="10"/>
  <c r="V754" i="10" s="1"/>
  <c r="W754" i="10" s="1"/>
  <c r="H753" i="10"/>
  <c r="V753" i="10" s="1"/>
  <c r="W753" i="10" s="1"/>
  <c r="H752" i="10"/>
  <c r="V752" i="10" s="1"/>
  <c r="W752" i="10" s="1"/>
  <c r="H751" i="10"/>
  <c r="V751" i="10" s="1"/>
  <c r="W751" i="10" s="1"/>
  <c r="H750" i="10"/>
  <c r="V750" i="10" s="1"/>
  <c r="W750" i="10" s="1"/>
  <c r="H749" i="10"/>
  <c r="V749" i="10" s="1"/>
  <c r="W749" i="10" s="1"/>
  <c r="H748" i="10"/>
  <c r="V748" i="10" s="1"/>
  <c r="W748" i="10" s="1"/>
  <c r="H747" i="10"/>
  <c r="V747" i="10" s="1"/>
  <c r="W747" i="10" s="1"/>
  <c r="L745" i="10"/>
  <c r="J745" i="10" s="1"/>
  <c r="H745" i="10" s="1"/>
  <c r="V745" i="10" s="1"/>
  <c r="W745" i="10" s="1"/>
  <c r="S744" i="10"/>
  <c r="P744" i="10"/>
  <c r="N744" i="10" s="1"/>
  <c r="L744" i="10" s="1"/>
  <c r="J744" i="10" s="1"/>
  <c r="H744" i="10" s="1"/>
  <c r="V744" i="10" s="1"/>
  <c r="E744" i="10"/>
  <c r="S743" i="10"/>
  <c r="R743" i="10" s="1"/>
  <c r="P743" i="10" s="1"/>
  <c r="N743" i="10" s="1"/>
  <c r="L743" i="10" s="1"/>
  <c r="J743" i="10" s="1"/>
  <c r="H743" i="10" s="1"/>
  <c r="V743" i="10" s="1"/>
  <c r="E743" i="10"/>
  <c r="S742" i="10"/>
  <c r="R742" i="10" s="1"/>
  <c r="P742" i="10" s="1"/>
  <c r="N742" i="10" s="1"/>
  <c r="L742" i="10" s="1"/>
  <c r="J742" i="10" s="1"/>
  <c r="H742" i="10" s="1"/>
  <c r="V742" i="10" s="1"/>
  <c r="U742" i="10" s="1"/>
  <c r="E742" i="10"/>
  <c r="S741" i="10"/>
  <c r="R741" i="10" s="1"/>
  <c r="P741" i="10" s="1"/>
  <c r="N741" i="10" s="1"/>
  <c r="L741" i="10" s="1"/>
  <c r="J741" i="10" s="1"/>
  <c r="H741" i="10" s="1"/>
  <c r="V741" i="10" s="1"/>
  <c r="E741" i="10"/>
  <c r="S740" i="10"/>
  <c r="R740" i="10" s="1"/>
  <c r="P740" i="10" s="1"/>
  <c r="N740" i="10" s="1"/>
  <c r="L740" i="10" s="1"/>
  <c r="J740" i="10" s="1"/>
  <c r="H740" i="10" s="1"/>
  <c r="V740" i="10" s="1"/>
  <c r="E740" i="10"/>
  <c r="S739" i="10"/>
  <c r="R739" i="10" s="1"/>
  <c r="P739" i="10" s="1"/>
  <c r="N739" i="10" s="1"/>
  <c r="L739" i="10" s="1"/>
  <c r="J739" i="10" s="1"/>
  <c r="H739" i="10" s="1"/>
  <c r="V739" i="10" s="1"/>
  <c r="E739" i="10"/>
  <c r="S738" i="10"/>
  <c r="R738" i="10" s="1"/>
  <c r="P738" i="10" s="1"/>
  <c r="N738" i="10" s="1"/>
  <c r="L738" i="10" s="1"/>
  <c r="J738" i="10" s="1"/>
  <c r="H738" i="10" s="1"/>
  <c r="V738" i="10" s="1"/>
  <c r="E738" i="10"/>
  <c r="S737" i="10"/>
  <c r="R737" i="10" s="1"/>
  <c r="P737" i="10" s="1"/>
  <c r="N737" i="10" s="1"/>
  <c r="L737" i="10" s="1"/>
  <c r="J737" i="10" s="1"/>
  <c r="H737" i="10" s="1"/>
  <c r="V737" i="10" s="1"/>
  <c r="W737" i="10" s="1"/>
  <c r="E737" i="10"/>
  <c r="S736" i="10"/>
  <c r="R736" i="10" s="1"/>
  <c r="P736" i="10" s="1"/>
  <c r="N736" i="10" s="1"/>
  <c r="L736" i="10" s="1"/>
  <c r="J736" i="10" s="1"/>
  <c r="H736" i="10" s="1"/>
  <c r="V736" i="10" s="1"/>
  <c r="E736" i="10"/>
  <c r="S735" i="10"/>
  <c r="R735" i="10" s="1"/>
  <c r="P735" i="10" s="1"/>
  <c r="N735" i="10" s="1"/>
  <c r="L735" i="10" s="1"/>
  <c r="J735" i="10" s="1"/>
  <c r="H735" i="10" s="1"/>
  <c r="V735" i="10" s="1"/>
  <c r="W735" i="10" s="1"/>
  <c r="E735" i="10"/>
  <c r="S734" i="10"/>
  <c r="P734" i="10"/>
  <c r="N734" i="10" s="1"/>
  <c r="L734" i="10" s="1"/>
  <c r="J734" i="10" s="1"/>
  <c r="H734" i="10" s="1"/>
  <c r="V734" i="10" s="1"/>
  <c r="E734" i="10"/>
  <c r="H731" i="10"/>
  <c r="V731" i="10" s="1"/>
  <c r="W731" i="10" s="1"/>
  <c r="H730" i="10"/>
  <c r="V730" i="10" s="1"/>
  <c r="W730" i="10" s="1"/>
  <c r="H729" i="10"/>
  <c r="V729" i="10" s="1"/>
  <c r="W729" i="10" s="1"/>
  <c r="H728" i="10"/>
  <c r="V728" i="10" s="1"/>
  <c r="W728" i="10" s="1"/>
  <c r="H727" i="10"/>
  <c r="V727" i="10" s="1"/>
  <c r="W727" i="10" s="1"/>
  <c r="S726" i="10"/>
  <c r="P726" i="10"/>
  <c r="N726" i="10" s="1"/>
  <c r="L726" i="10" s="1"/>
  <c r="J726" i="10" s="1"/>
  <c r="H726" i="10" s="1"/>
  <c r="V726" i="10" s="1"/>
  <c r="E726" i="10"/>
  <c r="S725" i="10"/>
  <c r="P725" i="10"/>
  <c r="N725" i="10" s="1"/>
  <c r="L725" i="10" s="1"/>
  <c r="J725" i="10" s="1"/>
  <c r="H725" i="10" s="1"/>
  <c r="V725" i="10" s="1"/>
  <c r="E725" i="10"/>
  <c r="S724" i="10"/>
  <c r="P724" i="10"/>
  <c r="N724" i="10" s="1"/>
  <c r="L724" i="10" s="1"/>
  <c r="J724" i="10" s="1"/>
  <c r="H724" i="10" s="1"/>
  <c r="V724" i="10" s="1"/>
  <c r="E724" i="10"/>
  <c r="S723" i="10"/>
  <c r="P723" i="10"/>
  <c r="N723" i="10" s="1"/>
  <c r="L723" i="10" s="1"/>
  <c r="J723" i="10" s="1"/>
  <c r="H723" i="10" s="1"/>
  <c r="V723" i="10" s="1"/>
  <c r="U723" i="10" s="1"/>
  <c r="E723" i="10"/>
  <c r="S722" i="10"/>
  <c r="P722" i="10"/>
  <c r="N722" i="10" s="1"/>
  <c r="L722" i="10" s="1"/>
  <c r="J722" i="10" s="1"/>
  <c r="H722" i="10" s="1"/>
  <c r="V722" i="10" s="1"/>
  <c r="E722" i="10"/>
  <c r="S721" i="10"/>
  <c r="P721" i="10"/>
  <c r="N721" i="10" s="1"/>
  <c r="L721" i="10" s="1"/>
  <c r="J721" i="10" s="1"/>
  <c r="H721" i="10" s="1"/>
  <c r="V721" i="10" s="1"/>
  <c r="E721" i="10"/>
  <c r="S720" i="10"/>
  <c r="P720" i="10"/>
  <c r="N720" i="10" s="1"/>
  <c r="L720" i="10" s="1"/>
  <c r="J720" i="10" s="1"/>
  <c r="H720" i="10" s="1"/>
  <c r="V720" i="10" s="1"/>
  <c r="E720" i="10"/>
  <c r="S717" i="10"/>
  <c r="P717" i="10"/>
  <c r="N717" i="10" s="1"/>
  <c r="L717" i="10" s="1"/>
  <c r="J717" i="10" s="1"/>
  <c r="H717" i="10" s="1"/>
  <c r="V717" i="10" s="1"/>
  <c r="E717" i="10"/>
  <c r="S716" i="10"/>
  <c r="P716" i="10"/>
  <c r="N716" i="10" s="1"/>
  <c r="L716" i="10" s="1"/>
  <c r="J716" i="10" s="1"/>
  <c r="H716" i="10" s="1"/>
  <c r="V716" i="10" s="1"/>
  <c r="E716" i="10"/>
  <c r="S715" i="10"/>
  <c r="P715" i="10"/>
  <c r="N715" i="10" s="1"/>
  <c r="L715" i="10" s="1"/>
  <c r="J715" i="10" s="1"/>
  <c r="H715" i="10" s="1"/>
  <c r="V715" i="10" s="1"/>
  <c r="E715" i="10"/>
  <c r="L713" i="10"/>
  <c r="J713" i="10" s="1"/>
  <c r="H713" i="10" s="1"/>
  <c r="V713" i="10" s="1"/>
  <c r="W713" i="10" s="1"/>
  <c r="S712" i="10"/>
  <c r="P712" i="10"/>
  <c r="N712" i="10" s="1"/>
  <c r="L712" i="10" s="1"/>
  <c r="J712" i="10" s="1"/>
  <c r="H712" i="10" s="1"/>
  <c r="V712" i="10" s="1"/>
  <c r="E712" i="10"/>
  <c r="S711" i="10"/>
  <c r="P711" i="10"/>
  <c r="N711" i="10" s="1"/>
  <c r="L711" i="10" s="1"/>
  <c r="J711" i="10" s="1"/>
  <c r="H711" i="10" s="1"/>
  <c r="V711" i="10" s="1"/>
  <c r="E711" i="10"/>
  <c r="V710" i="10"/>
  <c r="W710" i="10" s="1"/>
  <c r="S710" i="10"/>
  <c r="P710" i="10"/>
  <c r="N710" i="10" s="1"/>
  <c r="L710" i="10" s="1"/>
  <c r="J710" i="10" s="1"/>
  <c r="E710" i="10"/>
  <c r="V709" i="10"/>
  <c r="U709" i="10" s="1"/>
  <c r="S709" i="10"/>
  <c r="P709" i="10"/>
  <c r="N709" i="10" s="1"/>
  <c r="L709" i="10" s="1"/>
  <c r="J709" i="10" s="1"/>
  <c r="E709" i="10"/>
  <c r="V708" i="10"/>
  <c r="W708" i="10" s="1"/>
  <c r="S708" i="10"/>
  <c r="P708" i="10"/>
  <c r="N708" i="10" s="1"/>
  <c r="L708" i="10" s="1"/>
  <c r="J708" i="10" s="1"/>
  <c r="E708" i="10"/>
  <c r="S707" i="10"/>
  <c r="P707" i="10"/>
  <c r="N707" i="10" s="1"/>
  <c r="L707" i="10" s="1"/>
  <c r="J707" i="10" s="1"/>
  <c r="H707" i="10" s="1"/>
  <c r="V707" i="10" s="1"/>
  <c r="E707" i="10"/>
  <c r="S706" i="10"/>
  <c r="P706" i="10"/>
  <c r="N706" i="10" s="1"/>
  <c r="L706" i="10" s="1"/>
  <c r="J706" i="10" s="1"/>
  <c r="H706" i="10" s="1"/>
  <c r="V706" i="10" s="1"/>
  <c r="E706" i="10"/>
  <c r="V705" i="10"/>
  <c r="W705" i="10" s="1"/>
  <c r="S705" i="10"/>
  <c r="R705" i="10" s="1"/>
  <c r="P705" i="10" s="1"/>
  <c r="N705" i="10" s="1"/>
  <c r="L705" i="10" s="1"/>
  <c r="J705" i="10" s="1"/>
  <c r="E705" i="10"/>
  <c r="V704" i="10"/>
  <c r="W704" i="10" s="1"/>
  <c r="S704" i="10"/>
  <c r="P704" i="10"/>
  <c r="N704" i="10" s="1"/>
  <c r="L704" i="10" s="1"/>
  <c r="J704" i="10" s="1"/>
  <c r="E704" i="10"/>
  <c r="V703" i="10"/>
  <c r="U703" i="10" s="1"/>
  <c r="S703" i="10"/>
  <c r="P703" i="10"/>
  <c r="N703" i="10" s="1"/>
  <c r="L703" i="10" s="1"/>
  <c r="J703" i="10" s="1"/>
  <c r="E703" i="10"/>
  <c r="S702" i="10"/>
  <c r="R702" i="10" s="1"/>
  <c r="P702" i="10" s="1"/>
  <c r="N702" i="10" s="1"/>
  <c r="L702" i="10" s="1"/>
  <c r="J702" i="10" s="1"/>
  <c r="H702" i="10" s="1"/>
  <c r="V702" i="10" s="1"/>
  <c r="E702" i="10"/>
  <c r="S699" i="10"/>
  <c r="R699" i="10" s="1"/>
  <c r="P699" i="10" s="1"/>
  <c r="N699" i="10" s="1"/>
  <c r="L699" i="10" s="1"/>
  <c r="J699" i="10" s="1"/>
  <c r="H699" i="10" s="1"/>
  <c r="V699" i="10" s="1"/>
  <c r="E699" i="10"/>
  <c r="S698" i="10"/>
  <c r="R698" i="10" s="1"/>
  <c r="P698" i="10" s="1"/>
  <c r="N698" i="10" s="1"/>
  <c r="L698" i="10" s="1"/>
  <c r="J698" i="10" s="1"/>
  <c r="H698" i="10" s="1"/>
  <c r="V698" i="10" s="1"/>
  <c r="E698" i="10"/>
  <c r="S697" i="10"/>
  <c r="R697" i="10" s="1"/>
  <c r="P697" i="10" s="1"/>
  <c r="N697" i="10" s="1"/>
  <c r="L697" i="10" s="1"/>
  <c r="J697" i="10" s="1"/>
  <c r="H697" i="10" s="1"/>
  <c r="V697" i="10" s="1"/>
  <c r="E697" i="10"/>
  <c r="S696" i="10"/>
  <c r="R696" i="10" s="1"/>
  <c r="P696" i="10" s="1"/>
  <c r="N696" i="10" s="1"/>
  <c r="L696" i="10" s="1"/>
  <c r="J696" i="10" s="1"/>
  <c r="H696" i="10" s="1"/>
  <c r="V696" i="10" s="1"/>
  <c r="E696" i="10"/>
  <c r="S695" i="10"/>
  <c r="R695" i="10" s="1"/>
  <c r="P695" i="10" s="1"/>
  <c r="N695" i="10" s="1"/>
  <c r="L695" i="10" s="1"/>
  <c r="J695" i="10" s="1"/>
  <c r="H695" i="10" s="1"/>
  <c r="V695" i="10" s="1"/>
  <c r="E695" i="10"/>
  <c r="S694" i="10"/>
  <c r="R694" i="10" s="1"/>
  <c r="P694" i="10" s="1"/>
  <c r="N694" i="10" s="1"/>
  <c r="L694" i="10" s="1"/>
  <c r="J694" i="10" s="1"/>
  <c r="H694" i="10" s="1"/>
  <c r="V694" i="10" s="1"/>
  <c r="E694" i="10"/>
  <c r="S693" i="10"/>
  <c r="R693" i="10" s="1"/>
  <c r="P693" i="10" s="1"/>
  <c r="N693" i="10" s="1"/>
  <c r="L693" i="10" s="1"/>
  <c r="J693" i="10" s="1"/>
  <c r="H693" i="10" s="1"/>
  <c r="V693" i="10" s="1"/>
  <c r="E693" i="10"/>
  <c r="S692" i="10"/>
  <c r="R692" i="10" s="1"/>
  <c r="P692" i="10" s="1"/>
  <c r="N692" i="10" s="1"/>
  <c r="L692" i="10" s="1"/>
  <c r="J692" i="10" s="1"/>
  <c r="H692" i="10" s="1"/>
  <c r="V692" i="10" s="1"/>
  <c r="E692" i="10"/>
  <c r="S691" i="10"/>
  <c r="R691" i="10" s="1"/>
  <c r="P691" i="10" s="1"/>
  <c r="N691" i="10" s="1"/>
  <c r="L691" i="10" s="1"/>
  <c r="J691" i="10" s="1"/>
  <c r="H691" i="10" s="1"/>
  <c r="V691" i="10" s="1"/>
  <c r="E691" i="10"/>
  <c r="S690" i="10"/>
  <c r="R690" i="10" s="1"/>
  <c r="P690" i="10" s="1"/>
  <c r="N690" i="10" s="1"/>
  <c r="L690" i="10" s="1"/>
  <c r="J690" i="10" s="1"/>
  <c r="H690" i="10" s="1"/>
  <c r="V690" i="10" s="1"/>
  <c r="E690" i="10"/>
  <c r="U689" i="10"/>
  <c r="S689" i="10"/>
  <c r="P689" i="10"/>
  <c r="N689" i="10" s="1"/>
  <c r="L689" i="10" s="1"/>
  <c r="S687" i="10"/>
  <c r="P687" i="10"/>
  <c r="N687" i="10" s="1"/>
  <c r="L687" i="10" s="1"/>
  <c r="J687" i="10" s="1"/>
  <c r="H687" i="10" s="1"/>
  <c r="V687" i="10" s="1"/>
  <c r="E687" i="10"/>
  <c r="S686" i="10"/>
  <c r="P686" i="10"/>
  <c r="N686" i="10" s="1"/>
  <c r="L686" i="10" s="1"/>
  <c r="J686" i="10" s="1"/>
  <c r="H686" i="10" s="1"/>
  <c r="V686" i="10" s="1"/>
  <c r="E686" i="10"/>
  <c r="S685" i="10"/>
  <c r="P685" i="10"/>
  <c r="N685" i="10" s="1"/>
  <c r="L685" i="10" s="1"/>
  <c r="J685" i="10" s="1"/>
  <c r="H685" i="10" s="1"/>
  <c r="V685" i="10" s="1"/>
  <c r="E685" i="10"/>
  <c r="S684" i="10"/>
  <c r="P684" i="10"/>
  <c r="N684" i="10" s="1"/>
  <c r="L684" i="10" s="1"/>
  <c r="J684" i="10" s="1"/>
  <c r="H684" i="10" s="1"/>
  <c r="V684" i="10" s="1"/>
  <c r="E684" i="10"/>
  <c r="S682" i="10"/>
  <c r="R682" i="10" s="1"/>
  <c r="P682" i="10" s="1"/>
  <c r="N682" i="10" s="1"/>
  <c r="L682" i="10" s="1"/>
  <c r="J682" i="10" s="1"/>
  <c r="H682" i="10" s="1"/>
  <c r="V682" i="10" s="1"/>
  <c r="E682" i="10"/>
  <c r="S681" i="10"/>
  <c r="P681" i="10"/>
  <c r="N681" i="10" s="1"/>
  <c r="L681" i="10" s="1"/>
  <c r="J681" i="10" s="1"/>
  <c r="H681" i="10" s="1"/>
  <c r="V681" i="10" s="1"/>
  <c r="E681" i="10"/>
  <c r="S680" i="10"/>
  <c r="R680" i="10" s="1"/>
  <c r="P680" i="10" s="1"/>
  <c r="N680" i="10" s="1"/>
  <c r="L680" i="10" s="1"/>
  <c r="J680" i="10" s="1"/>
  <c r="H680" i="10" s="1"/>
  <c r="V680" i="10" s="1"/>
  <c r="E680" i="10"/>
  <c r="S679" i="10"/>
  <c r="R679" i="10" s="1"/>
  <c r="P679" i="10" s="1"/>
  <c r="N679" i="10" s="1"/>
  <c r="L679" i="10" s="1"/>
  <c r="J679" i="10" s="1"/>
  <c r="H679" i="10" s="1"/>
  <c r="V679" i="10" s="1"/>
  <c r="E679" i="10"/>
  <c r="S678" i="10"/>
  <c r="R678" i="10" s="1"/>
  <c r="P678" i="10" s="1"/>
  <c r="N678" i="10" s="1"/>
  <c r="L678" i="10" s="1"/>
  <c r="J678" i="10" s="1"/>
  <c r="H678" i="10" s="1"/>
  <c r="V678" i="10" s="1"/>
  <c r="E678" i="10"/>
  <c r="S677" i="10"/>
  <c r="P677" i="10"/>
  <c r="N677" i="10" s="1"/>
  <c r="L677" i="10" s="1"/>
  <c r="J677" i="10" s="1"/>
  <c r="H677" i="10" s="1"/>
  <c r="V677" i="10" s="1"/>
  <c r="E677" i="10"/>
  <c r="V674" i="10"/>
  <c r="W674" i="10" s="1"/>
  <c r="S674" i="10"/>
  <c r="R674" i="10" s="1"/>
  <c r="P674" i="10" s="1"/>
  <c r="N674" i="10" s="1"/>
  <c r="L674" i="10" s="1"/>
  <c r="J674" i="10" s="1"/>
  <c r="E674" i="10"/>
  <c r="V673" i="10"/>
  <c r="W673" i="10" s="1"/>
  <c r="S673" i="10"/>
  <c r="R673" i="10" s="1"/>
  <c r="P673" i="10" s="1"/>
  <c r="N673" i="10" s="1"/>
  <c r="L673" i="10" s="1"/>
  <c r="J673" i="10" s="1"/>
  <c r="E673" i="10"/>
  <c r="S672" i="10"/>
  <c r="P672" i="10"/>
  <c r="N672" i="10" s="1"/>
  <c r="L672" i="10" s="1"/>
  <c r="J672" i="10" s="1"/>
  <c r="H672" i="10" s="1"/>
  <c r="V672" i="10" s="1"/>
  <c r="E672" i="10"/>
  <c r="S670" i="10"/>
  <c r="P670" i="10"/>
  <c r="N670" i="10" s="1"/>
  <c r="L670" i="10" s="1"/>
  <c r="J670" i="10" s="1"/>
  <c r="H670" i="10" s="1"/>
  <c r="V670" i="10" s="1"/>
  <c r="E670" i="10"/>
  <c r="S669" i="10"/>
  <c r="P669" i="10"/>
  <c r="N669" i="10" s="1"/>
  <c r="L669" i="10" s="1"/>
  <c r="J669" i="10" s="1"/>
  <c r="H669" i="10" s="1"/>
  <c r="V669" i="10" s="1"/>
  <c r="W669" i="10" s="1"/>
  <c r="E669" i="10"/>
  <c r="S668" i="10"/>
  <c r="P668" i="10"/>
  <c r="N668" i="10" s="1"/>
  <c r="L668" i="10" s="1"/>
  <c r="J668" i="10" s="1"/>
  <c r="H668" i="10" s="1"/>
  <c r="V668" i="10" s="1"/>
  <c r="E668" i="10"/>
  <c r="S667" i="10"/>
  <c r="P667" i="10"/>
  <c r="N667" i="10" s="1"/>
  <c r="L667" i="10" s="1"/>
  <c r="J667" i="10" s="1"/>
  <c r="H667" i="10" s="1"/>
  <c r="V667" i="10" s="1"/>
  <c r="U667" i="10" s="1"/>
  <c r="E667" i="10"/>
  <c r="F667" i="10" s="1"/>
  <c r="S666" i="10"/>
  <c r="P666" i="10"/>
  <c r="N666" i="10" s="1"/>
  <c r="L666" i="10" s="1"/>
  <c r="J666" i="10" s="1"/>
  <c r="H666" i="10" s="1"/>
  <c r="V666" i="10" s="1"/>
  <c r="E666" i="10"/>
  <c r="S665" i="10"/>
  <c r="R665" i="10" s="1"/>
  <c r="P665" i="10" s="1"/>
  <c r="N665" i="10" s="1"/>
  <c r="L665" i="10" s="1"/>
  <c r="J665" i="10" s="1"/>
  <c r="H665" i="10" s="1"/>
  <c r="V665" i="10" s="1"/>
  <c r="E665" i="10"/>
  <c r="S664" i="10"/>
  <c r="R664" i="10" s="1"/>
  <c r="P664" i="10" s="1"/>
  <c r="N664" i="10" s="1"/>
  <c r="L664" i="10" s="1"/>
  <c r="J664" i="10" s="1"/>
  <c r="H664" i="10" s="1"/>
  <c r="V664" i="10" s="1"/>
  <c r="E664" i="10"/>
  <c r="S663" i="10"/>
  <c r="R663" i="10" s="1"/>
  <c r="P663" i="10" s="1"/>
  <c r="N663" i="10" s="1"/>
  <c r="L663" i="10" s="1"/>
  <c r="J663" i="10" s="1"/>
  <c r="H663" i="10" s="1"/>
  <c r="V663" i="10" s="1"/>
  <c r="E663" i="10"/>
  <c r="S662" i="10"/>
  <c r="R662" i="10" s="1"/>
  <c r="P662" i="10" s="1"/>
  <c r="N662" i="10" s="1"/>
  <c r="L662" i="10" s="1"/>
  <c r="J662" i="10" s="1"/>
  <c r="H662" i="10" s="1"/>
  <c r="V662" i="10" s="1"/>
  <c r="E662" i="10"/>
  <c r="S661" i="10"/>
  <c r="R661" i="10" s="1"/>
  <c r="P661" i="10" s="1"/>
  <c r="N661" i="10" s="1"/>
  <c r="L661" i="10" s="1"/>
  <c r="J661" i="10" s="1"/>
  <c r="H661" i="10" s="1"/>
  <c r="V661" i="10" s="1"/>
  <c r="E661" i="10"/>
  <c r="S660" i="10"/>
  <c r="P660" i="10"/>
  <c r="N660" i="10" s="1"/>
  <c r="L660" i="10" s="1"/>
  <c r="J660" i="10" s="1"/>
  <c r="H660" i="10" s="1"/>
  <c r="V660" i="10" s="1"/>
  <c r="E660" i="10"/>
  <c r="S659" i="10"/>
  <c r="P659" i="10"/>
  <c r="N659" i="10" s="1"/>
  <c r="L659" i="10" s="1"/>
  <c r="J659" i="10" s="1"/>
  <c r="H659" i="10" s="1"/>
  <c r="V659" i="10" s="1"/>
  <c r="W659" i="10" s="1"/>
  <c r="E659" i="10"/>
  <c r="S657" i="10"/>
  <c r="P657" i="10"/>
  <c r="N657" i="10" s="1"/>
  <c r="L657" i="10" s="1"/>
  <c r="J657" i="10" s="1"/>
  <c r="H657" i="10" s="1"/>
  <c r="V657" i="10" s="1"/>
  <c r="E657" i="10"/>
  <c r="S655" i="10"/>
  <c r="P655" i="10"/>
  <c r="N655" i="10" s="1"/>
  <c r="L655" i="10" s="1"/>
  <c r="J655" i="10" s="1"/>
  <c r="H655" i="10" s="1"/>
  <c r="V655" i="10" s="1"/>
  <c r="S654" i="10"/>
  <c r="P654" i="10"/>
  <c r="N654" i="10" s="1"/>
  <c r="L654" i="10" s="1"/>
  <c r="J654" i="10" s="1"/>
  <c r="H654" i="10" s="1"/>
  <c r="V654" i="10" s="1"/>
  <c r="E654" i="10"/>
  <c r="S653" i="10"/>
  <c r="P653" i="10"/>
  <c r="N653" i="10" s="1"/>
  <c r="L653" i="10" s="1"/>
  <c r="J653" i="10" s="1"/>
  <c r="H653" i="10" s="1"/>
  <c r="V653" i="10" s="1"/>
  <c r="W653" i="10" s="1"/>
  <c r="E653" i="10"/>
  <c r="S652" i="10"/>
  <c r="P652" i="10"/>
  <c r="N652" i="10" s="1"/>
  <c r="L652" i="10" s="1"/>
  <c r="J652" i="10" s="1"/>
  <c r="H652" i="10" s="1"/>
  <c r="V652" i="10" s="1"/>
  <c r="E652" i="10"/>
  <c r="S651" i="10"/>
  <c r="P651" i="10"/>
  <c r="N651" i="10" s="1"/>
  <c r="L651" i="10" s="1"/>
  <c r="J651" i="10" s="1"/>
  <c r="H651" i="10" s="1"/>
  <c r="V651" i="10" s="1"/>
  <c r="E651" i="10"/>
  <c r="S650" i="10"/>
  <c r="P650" i="10"/>
  <c r="N650" i="10" s="1"/>
  <c r="L650" i="10" s="1"/>
  <c r="J650" i="10" s="1"/>
  <c r="H650" i="10" s="1"/>
  <c r="V650" i="10" s="1"/>
  <c r="E650" i="10"/>
  <c r="S649" i="10"/>
  <c r="P649" i="10"/>
  <c r="N649" i="10" s="1"/>
  <c r="L649" i="10" s="1"/>
  <c r="J649" i="10" s="1"/>
  <c r="H649" i="10" s="1"/>
  <c r="V649" i="10" s="1"/>
  <c r="E649" i="10"/>
  <c r="S648" i="10"/>
  <c r="P648" i="10"/>
  <c r="N648" i="10" s="1"/>
  <c r="L648" i="10" s="1"/>
  <c r="J648" i="10" s="1"/>
  <c r="H648" i="10" s="1"/>
  <c r="V648" i="10" s="1"/>
  <c r="E648" i="10"/>
  <c r="S647" i="10"/>
  <c r="P647" i="10"/>
  <c r="N647" i="10" s="1"/>
  <c r="L647" i="10" s="1"/>
  <c r="J647" i="10" s="1"/>
  <c r="H647" i="10" s="1"/>
  <c r="V647" i="10" s="1"/>
  <c r="E647" i="10"/>
  <c r="S645" i="10"/>
  <c r="P645" i="10"/>
  <c r="N645" i="10" s="1"/>
  <c r="L645" i="10" s="1"/>
  <c r="J645" i="10" s="1"/>
  <c r="H645" i="10" s="1"/>
  <c r="V645" i="10" s="1"/>
  <c r="E645" i="10"/>
  <c r="S644" i="10"/>
  <c r="P644" i="10"/>
  <c r="N644" i="10" s="1"/>
  <c r="L644" i="10" s="1"/>
  <c r="J644" i="10" s="1"/>
  <c r="H644" i="10" s="1"/>
  <c r="V644" i="10" s="1"/>
  <c r="W644" i="10" s="1"/>
  <c r="E644" i="10"/>
  <c r="S643" i="10"/>
  <c r="P643" i="10"/>
  <c r="N643" i="10" s="1"/>
  <c r="L643" i="10" s="1"/>
  <c r="J643" i="10" s="1"/>
  <c r="H643" i="10" s="1"/>
  <c r="V643" i="10" s="1"/>
  <c r="E643" i="10"/>
  <c r="S642" i="10"/>
  <c r="P642" i="10"/>
  <c r="N642" i="10" s="1"/>
  <c r="L642" i="10" s="1"/>
  <c r="J642" i="10" s="1"/>
  <c r="H642" i="10" s="1"/>
  <c r="V642" i="10" s="1"/>
  <c r="E642" i="10"/>
  <c r="S641" i="10"/>
  <c r="P641" i="10"/>
  <c r="N641" i="10" s="1"/>
  <c r="L641" i="10" s="1"/>
  <c r="J641" i="10" s="1"/>
  <c r="H641" i="10" s="1"/>
  <c r="V641" i="10" s="1"/>
  <c r="E641" i="10"/>
  <c r="S640" i="10"/>
  <c r="P640" i="10"/>
  <c r="N640" i="10" s="1"/>
  <c r="L640" i="10" s="1"/>
  <c r="J640" i="10" s="1"/>
  <c r="H640" i="10" s="1"/>
  <c r="V640" i="10" s="1"/>
  <c r="E640" i="10"/>
  <c r="S639" i="10"/>
  <c r="P639" i="10"/>
  <c r="N639" i="10" s="1"/>
  <c r="L639" i="10" s="1"/>
  <c r="J639" i="10" s="1"/>
  <c r="H639" i="10" s="1"/>
  <c r="V639" i="10" s="1"/>
  <c r="E639" i="10"/>
  <c r="S638" i="10"/>
  <c r="P638" i="10"/>
  <c r="N638" i="10" s="1"/>
  <c r="L638" i="10" s="1"/>
  <c r="J638" i="10" s="1"/>
  <c r="H638" i="10" s="1"/>
  <c r="V638" i="10" s="1"/>
  <c r="E638" i="10"/>
  <c r="S637" i="10"/>
  <c r="P637" i="10"/>
  <c r="N637" i="10" s="1"/>
  <c r="L637" i="10" s="1"/>
  <c r="J637" i="10" s="1"/>
  <c r="H637" i="10" s="1"/>
  <c r="V637" i="10" s="1"/>
  <c r="E637" i="10"/>
  <c r="S635" i="10"/>
  <c r="P635" i="10"/>
  <c r="N635" i="10" s="1"/>
  <c r="L635" i="10" s="1"/>
  <c r="J635" i="10" s="1"/>
  <c r="H635" i="10" s="1"/>
  <c r="V635" i="10" s="1"/>
  <c r="E635" i="10"/>
  <c r="S634" i="10"/>
  <c r="P634" i="10"/>
  <c r="N634" i="10" s="1"/>
  <c r="L634" i="10" s="1"/>
  <c r="J634" i="10" s="1"/>
  <c r="H634" i="10" s="1"/>
  <c r="V634" i="10" s="1"/>
  <c r="S633" i="10"/>
  <c r="P633" i="10"/>
  <c r="N633" i="10" s="1"/>
  <c r="L633" i="10" s="1"/>
  <c r="J633" i="10" s="1"/>
  <c r="H633" i="10" s="1"/>
  <c r="V633" i="10" s="1"/>
  <c r="E633" i="10"/>
  <c r="S632" i="10"/>
  <c r="P632" i="10"/>
  <c r="N632" i="10" s="1"/>
  <c r="L632" i="10" s="1"/>
  <c r="J632" i="10" s="1"/>
  <c r="H632" i="10" s="1"/>
  <c r="V632" i="10" s="1"/>
  <c r="E632" i="10"/>
  <c r="S631" i="10"/>
  <c r="P631" i="10"/>
  <c r="N631" i="10" s="1"/>
  <c r="L631" i="10" s="1"/>
  <c r="J631" i="10" s="1"/>
  <c r="H631" i="10" s="1"/>
  <c r="V631" i="10" s="1"/>
  <c r="E631" i="10"/>
  <c r="S630" i="10"/>
  <c r="P630" i="10"/>
  <c r="N630" i="10" s="1"/>
  <c r="L630" i="10" s="1"/>
  <c r="J630" i="10" s="1"/>
  <c r="H630" i="10" s="1"/>
  <c r="V630" i="10" s="1"/>
  <c r="E630" i="10"/>
  <c r="S629" i="10"/>
  <c r="P629" i="10"/>
  <c r="N629" i="10" s="1"/>
  <c r="L629" i="10" s="1"/>
  <c r="J629" i="10" s="1"/>
  <c r="H629" i="10" s="1"/>
  <c r="V629" i="10" s="1"/>
  <c r="E629" i="10"/>
  <c r="S628" i="10"/>
  <c r="P628" i="10"/>
  <c r="N628" i="10" s="1"/>
  <c r="L628" i="10" s="1"/>
  <c r="J628" i="10" s="1"/>
  <c r="H628" i="10" s="1"/>
  <c r="V628" i="10" s="1"/>
  <c r="E628" i="10"/>
  <c r="S626" i="10"/>
  <c r="P626" i="10"/>
  <c r="N626" i="10" s="1"/>
  <c r="L626" i="10" s="1"/>
  <c r="J626" i="10" s="1"/>
  <c r="H626" i="10" s="1"/>
  <c r="V626" i="10" s="1"/>
  <c r="E626" i="10"/>
  <c r="S625" i="10"/>
  <c r="P625" i="10"/>
  <c r="N625" i="10" s="1"/>
  <c r="L625" i="10" s="1"/>
  <c r="J625" i="10" s="1"/>
  <c r="H625" i="10" s="1"/>
  <c r="V625" i="10" s="1"/>
  <c r="E625" i="10"/>
  <c r="S624" i="10"/>
  <c r="P624" i="10"/>
  <c r="N624" i="10" s="1"/>
  <c r="L624" i="10" s="1"/>
  <c r="J624" i="10" s="1"/>
  <c r="H624" i="10" s="1"/>
  <c r="V624" i="10" s="1"/>
  <c r="E624" i="10"/>
  <c r="S623" i="10"/>
  <c r="P623" i="10"/>
  <c r="N623" i="10" s="1"/>
  <c r="L623" i="10" s="1"/>
  <c r="J623" i="10" s="1"/>
  <c r="H623" i="10" s="1"/>
  <c r="V623" i="10" s="1"/>
  <c r="E623" i="10"/>
  <c r="S621" i="10"/>
  <c r="P621" i="10"/>
  <c r="N621" i="10" s="1"/>
  <c r="L621" i="10" s="1"/>
  <c r="J621" i="10" s="1"/>
  <c r="H621" i="10" s="1"/>
  <c r="V621" i="10" s="1"/>
  <c r="S620" i="10"/>
  <c r="P620" i="10"/>
  <c r="N620" i="10" s="1"/>
  <c r="L620" i="10" s="1"/>
  <c r="J620" i="10" s="1"/>
  <c r="H620" i="10" s="1"/>
  <c r="V620" i="10" s="1"/>
  <c r="S619" i="10"/>
  <c r="P619" i="10"/>
  <c r="N619" i="10" s="1"/>
  <c r="L619" i="10" s="1"/>
  <c r="J619" i="10" s="1"/>
  <c r="H619" i="10" s="1"/>
  <c r="V619" i="10" s="1"/>
  <c r="E619" i="10"/>
  <c r="F619" i="10" s="1"/>
  <c r="S618" i="10"/>
  <c r="P618" i="10"/>
  <c r="N618" i="10" s="1"/>
  <c r="L618" i="10" s="1"/>
  <c r="J618" i="10" s="1"/>
  <c r="H618" i="10" s="1"/>
  <c r="V618" i="10" s="1"/>
  <c r="W618" i="10" s="1"/>
  <c r="E618" i="10"/>
  <c r="S617" i="10"/>
  <c r="P617" i="10"/>
  <c r="N617" i="10" s="1"/>
  <c r="L617" i="10" s="1"/>
  <c r="J617" i="10" s="1"/>
  <c r="H617" i="10" s="1"/>
  <c r="V617" i="10" s="1"/>
  <c r="E617" i="10"/>
  <c r="S616" i="10"/>
  <c r="P616" i="10"/>
  <c r="N616" i="10" s="1"/>
  <c r="L616" i="10" s="1"/>
  <c r="J616" i="10" s="1"/>
  <c r="H616" i="10" s="1"/>
  <c r="V616" i="10" s="1"/>
  <c r="H613" i="10"/>
  <c r="V613" i="10" s="1"/>
  <c r="W613" i="10" s="1"/>
  <c r="S612" i="10"/>
  <c r="R612" i="10" s="1"/>
  <c r="P612" i="10" s="1"/>
  <c r="N612" i="10" s="1"/>
  <c r="L612" i="10" s="1"/>
  <c r="J612" i="10" s="1"/>
  <c r="H612" i="10" s="1"/>
  <c r="V612" i="10" s="1"/>
  <c r="E612" i="10"/>
  <c r="S611" i="10"/>
  <c r="R611" i="10" s="1"/>
  <c r="P611" i="10" s="1"/>
  <c r="N611" i="10" s="1"/>
  <c r="L611" i="10" s="1"/>
  <c r="J611" i="10" s="1"/>
  <c r="H611" i="10" s="1"/>
  <c r="V611" i="10" s="1"/>
  <c r="W611" i="10" s="1"/>
  <c r="E611" i="10"/>
  <c r="S610" i="10"/>
  <c r="R610" i="10" s="1"/>
  <c r="P610" i="10" s="1"/>
  <c r="N610" i="10" s="1"/>
  <c r="L610" i="10" s="1"/>
  <c r="J610" i="10" s="1"/>
  <c r="H610" i="10" s="1"/>
  <c r="V610" i="10" s="1"/>
  <c r="W610" i="10" s="1"/>
  <c r="E610" i="10"/>
  <c r="S609" i="10"/>
  <c r="R609" i="10" s="1"/>
  <c r="P609" i="10" s="1"/>
  <c r="N609" i="10" s="1"/>
  <c r="L609" i="10" s="1"/>
  <c r="J609" i="10" s="1"/>
  <c r="H609" i="10" s="1"/>
  <c r="V609" i="10" s="1"/>
  <c r="E609" i="10"/>
  <c r="S608" i="10"/>
  <c r="R608" i="10" s="1"/>
  <c r="P608" i="10" s="1"/>
  <c r="N608" i="10" s="1"/>
  <c r="L608" i="10" s="1"/>
  <c r="J608" i="10" s="1"/>
  <c r="H608" i="10" s="1"/>
  <c r="V608" i="10" s="1"/>
  <c r="E608" i="10"/>
  <c r="S607" i="10"/>
  <c r="R607" i="10" s="1"/>
  <c r="P607" i="10" s="1"/>
  <c r="N607" i="10" s="1"/>
  <c r="L607" i="10" s="1"/>
  <c r="J607" i="10" s="1"/>
  <c r="H607" i="10" s="1"/>
  <c r="V607" i="10" s="1"/>
  <c r="W607" i="10" s="1"/>
  <c r="E607" i="10"/>
  <c r="S606" i="10"/>
  <c r="P606" i="10"/>
  <c r="N606" i="10" s="1"/>
  <c r="L606" i="10" s="1"/>
  <c r="J606" i="10" s="1"/>
  <c r="H606" i="10" s="1"/>
  <c r="V606" i="10" s="1"/>
  <c r="W606" i="10" s="1"/>
  <c r="E606" i="10"/>
  <c r="S605" i="10"/>
  <c r="R605" i="10" s="1"/>
  <c r="P605" i="10" s="1"/>
  <c r="N605" i="10" s="1"/>
  <c r="L605" i="10" s="1"/>
  <c r="J605" i="10" s="1"/>
  <c r="H605" i="10" s="1"/>
  <c r="V605" i="10" s="1"/>
  <c r="E605" i="10"/>
  <c r="S604" i="10"/>
  <c r="R604" i="10" s="1"/>
  <c r="P604" i="10" s="1"/>
  <c r="N604" i="10" s="1"/>
  <c r="L604" i="10" s="1"/>
  <c r="J604" i="10" s="1"/>
  <c r="H604" i="10" s="1"/>
  <c r="V604" i="10" s="1"/>
  <c r="E604" i="10"/>
  <c r="S602" i="10"/>
  <c r="R602" i="10" s="1"/>
  <c r="P602" i="10" s="1"/>
  <c r="N602" i="10" s="1"/>
  <c r="L602" i="10" s="1"/>
  <c r="J602" i="10" s="1"/>
  <c r="H602" i="10" s="1"/>
  <c r="V602" i="10" s="1"/>
  <c r="E602" i="10"/>
  <c r="S601" i="10"/>
  <c r="R601" i="10" s="1"/>
  <c r="P601" i="10" s="1"/>
  <c r="N601" i="10" s="1"/>
  <c r="L601" i="10" s="1"/>
  <c r="J601" i="10" s="1"/>
  <c r="H601" i="10" s="1"/>
  <c r="V601" i="10" s="1"/>
  <c r="E601" i="10"/>
  <c r="S600" i="10"/>
  <c r="R600" i="10" s="1"/>
  <c r="P600" i="10" s="1"/>
  <c r="N600" i="10" s="1"/>
  <c r="L600" i="10" s="1"/>
  <c r="J600" i="10" s="1"/>
  <c r="H600" i="10" s="1"/>
  <c r="V600" i="10" s="1"/>
  <c r="E600" i="10"/>
  <c r="S599" i="10"/>
  <c r="R599" i="10" s="1"/>
  <c r="P599" i="10" s="1"/>
  <c r="N599" i="10" s="1"/>
  <c r="L599" i="10" s="1"/>
  <c r="J599" i="10" s="1"/>
  <c r="H599" i="10" s="1"/>
  <c r="V599" i="10" s="1"/>
  <c r="E599" i="10"/>
  <c r="S598" i="10"/>
  <c r="R598" i="10" s="1"/>
  <c r="P598" i="10" s="1"/>
  <c r="N598" i="10" s="1"/>
  <c r="L598" i="10" s="1"/>
  <c r="J598" i="10" s="1"/>
  <c r="H598" i="10" s="1"/>
  <c r="V598" i="10" s="1"/>
  <c r="E598" i="10"/>
  <c r="S597" i="10"/>
  <c r="P597" i="10"/>
  <c r="N597" i="10" s="1"/>
  <c r="L597" i="10" s="1"/>
  <c r="J597" i="10" s="1"/>
  <c r="H597" i="10" s="1"/>
  <c r="V597" i="10" s="1"/>
  <c r="E597" i="10"/>
  <c r="N595" i="10"/>
  <c r="L595" i="10" s="1"/>
  <c r="J595" i="10" s="1"/>
  <c r="H595" i="10" s="1"/>
  <c r="V595" i="10" s="1"/>
  <c r="W595" i="10" s="1"/>
  <c r="S593" i="10"/>
  <c r="P593" i="10"/>
  <c r="N593" i="10" s="1"/>
  <c r="L593" i="10" s="1"/>
  <c r="J593" i="10" s="1"/>
  <c r="H593" i="10" s="1"/>
  <c r="V593" i="10" s="1"/>
  <c r="E593" i="10"/>
  <c r="S592" i="10"/>
  <c r="P592" i="10"/>
  <c r="N592" i="10" s="1"/>
  <c r="L592" i="10" s="1"/>
  <c r="J592" i="10" s="1"/>
  <c r="H592" i="10" s="1"/>
  <c r="V592" i="10" s="1"/>
  <c r="E592" i="10"/>
  <c r="S591" i="10"/>
  <c r="P591" i="10"/>
  <c r="N591" i="10" s="1"/>
  <c r="L591" i="10" s="1"/>
  <c r="J591" i="10" s="1"/>
  <c r="H591" i="10" s="1"/>
  <c r="V591" i="10" s="1"/>
  <c r="E591" i="10"/>
  <c r="S590" i="10"/>
  <c r="P590" i="10"/>
  <c r="N590" i="10" s="1"/>
  <c r="L590" i="10" s="1"/>
  <c r="J590" i="10" s="1"/>
  <c r="H590" i="10" s="1"/>
  <c r="V590" i="10" s="1"/>
  <c r="E590" i="10"/>
  <c r="S589" i="10"/>
  <c r="P589" i="10"/>
  <c r="N589" i="10" s="1"/>
  <c r="L589" i="10" s="1"/>
  <c r="J589" i="10" s="1"/>
  <c r="H589" i="10" s="1"/>
  <c r="V589" i="10" s="1"/>
  <c r="E589" i="10"/>
  <c r="S588" i="10"/>
  <c r="P588" i="10"/>
  <c r="N588" i="10" s="1"/>
  <c r="L588" i="10" s="1"/>
  <c r="J588" i="10" s="1"/>
  <c r="H588" i="10" s="1"/>
  <c r="V588" i="10" s="1"/>
  <c r="E588" i="10"/>
  <c r="S587" i="10"/>
  <c r="P587" i="10"/>
  <c r="N587" i="10" s="1"/>
  <c r="L587" i="10" s="1"/>
  <c r="J587" i="10" s="1"/>
  <c r="H587" i="10" s="1"/>
  <c r="V587" i="10" s="1"/>
  <c r="E587" i="10"/>
  <c r="S586" i="10"/>
  <c r="P586" i="10"/>
  <c r="N586" i="10" s="1"/>
  <c r="L586" i="10" s="1"/>
  <c r="J586" i="10" s="1"/>
  <c r="H586" i="10" s="1"/>
  <c r="V586" i="10" s="1"/>
  <c r="E586" i="10"/>
  <c r="S585" i="10"/>
  <c r="P585" i="10"/>
  <c r="N585" i="10" s="1"/>
  <c r="L585" i="10" s="1"/>
  <c r="J585" i="10" s="1"/>
  <c r="H585" i="10" s="1"/>
  <c r="V585" i="10" s="1"/>
  <c r="E585" i="10"/>
  <c r="S584" i="10"/>
  <c r="P584" i="10"/>
  <c r="N584" i="10" s="1"/>
  <c r="L584" i="10" s="1"/>
  <c r="J584" i="10" s="1"/>
  <c r="H584" i="10" s="1"/>
  <c r="V584" i="10" s="1"/>
  <c r="E584" i="10"/>
  <c r="S583" i="10"/>
  <c r="P583" i="10"/>
  <c r="N583" i="10" s="1"/>
  <c r="L583" i="10" s="1"/>
  <c r="J583" i="10" s="1"/>
  <c r="H583" i="10" s="1"/>
  <c r="V583" i="10" s="1"/>
  <c r="E583" i="10"/>
  <c r="S582" i="10"/>
  <c r="P582" i="10"/>
  <c r="N582" i="10" s="1"/>
  <c r="L582" i="10" s="1"/>
  <c r="J582" i="10" s="1"/>
  <c r="H582" i="10" s="1"/>
  <c r="V582" i="10" s="1"/>
  <c r="E582" i="10"/>
  <c r="S581" i="10"/>
  <c r="P581" i="10"/>
  <c r="N581" i="10" s="1"/>
  <c r="L581" i="10" s="1"/>
  <c r="J581" i="10" s="1"/>
  <c r="H581" i="10" s="1"/>
  <c r="V581" i="10" s="1"/>
  <c r="E581" i="10"/>
  <c r="S580" i="10"/>
  <c r="P580" i="10"/>
  <c r="N580" i="10" s="1"/>
  <c r="L580" i="10" s="1"/>
  <c r="J580" i="10" s="1"/>
  <c r="H580" i="10" s="1"/>
  <c r="V580" i="10" s="1"/>
  <c r="E580" i="10"/>
  <c r="S578" i="10"/>
  <c r="P578" i="10"/>
  <c r="N578" i="10" s="1"/>
  <c r="L578" i="10" s="1"/>
  <c r="J578" i="10" s="1"/>
  <c r="H578" i="10" s="1"/>
  <c r="V578" i="10" s="1"/>
  <c r="E578" i="10"/>
  <c r="S577" i="10"/>
  <c r="P577" i="10"/>
  <c r="N577" i="10" s="1"/>
  <c r="L577" i="10" s="1"/>
  <c r="J577" i="10" s="1"/>
  <c r="H577" i="10" s="1"/>
  <c r="V577" i="10" s="1"/>
  <c r="E577" i="10"/>
  <c r="S576" i="10"/>
  <c r="P576" i="10"/>
  <c r="N576" i="10" s="1"/>
  <c r="L576" i="10" s="1"/>
  <c r="J576" i="10" s="1"/>
  <c r="H576" i="10" s="1"/>
  <c r="V576" i="10" s="1"/>
  <c r="E576" i="10"/>
  <c r="S575" i="10"/>
  <c r="P575" i="10"/>
  <c r="N575" i="10" s="1"/>
  <c r="L575" i="10" s="1"/>
  <c r="J575" i="10" s="1"/>
  <c r="H575" i="10" s="1"/>
  <c r="V575" i="10" s="1"/>
  <c r="E575" i="10"/>
  <c r="S574" i="10"/>
  <c r="P574" i="10"/>
  <c r="N574" i="10" s="1"/>
  <c r="L574" i="10" s="1"/>
  <c r="J574" i="10" s="1"/>
  <c r="H574" i="10" s="1"/>
  <c r="V574" i="10" s="1"/>
  <c r="E574" i="10"/>
  <c r="R564" i="10"/>
  <c r="R563" i="10"/>
  <c r="R562" i="10"/>
  <c r="R561" i="10"/>
  <c r="V559" i="10"/>
  <c r="W559" i="10" s="1"/>
  <c r="P559" i="10"/>
  <c r="N559" i="10" s="1"/>
  <c r="L559" i="10" s="1"/>
  <c r="J559" i="10" s="1"/>
  <c r="D559" i="10"/>
  <c r="E559" i="10" s="1"/>
  <c r="F559" i="10" s="1"/>
  <c r="S558" i="10"/>
  <c r="N558" i="10"/>
  <c r="L558" i="10" s="1"/>
  <c r="J558" i="10" s="1"/>
  <c r="H558" i="10" s="1"/>
  <c r="V558" i="10" s="1"/>
  <c r="W558" i="10" s="1"/>
  <c r="S557" i="10"/>
  <c r="R557" i="10" s="1"/>
  <c r="P557" i="10" s="1"/>
  <c r="N557" i="10" s="1"/>
  <c r="L557" i="10" s="1"/>
  <c r="J557" i="10" s="1"/>
  <c r="H557" i="10" s="1"/>
  <c r="V557" i="10" s="1"/>
  <c r="D557" i="10"/>
  <c r="E557" i="10" s="1"/>
  <c r="F557" i="10" s="1"/>
  <c r="S556" i="10"/>
  <c r="P556" i="10"/>
  <c r="N556" i="10" s="1"/>
  <c r="L556" i="10" s="1"/>
  <c r="J556" i="10" s="1"/>
  <c r="H556" i="10" s="1"/>
  <c r="V556" i="10" s="1"/>
  <c r="D556" i="10"/>
  <c r="E556" i="10" s="1"/>
  <c r="F556" i="10" s="1"/>
  <c r="S555" i="10"/>
  <c r="P555" i="10"/>
  <c r="N555" i="10" s="1"/>
  <c r="L555" i="10" s="1"/>
  <c r="J555" i="10" s="1"/>
  <c r="H555" i="10" s="1"/>
  <c r="V555" i="10" s="1"/>
  <c r="W555" i="10" s="1"/>
  <c r="S554" i="10"/>
  <c r="P554" i="10"/>
  <c r="N554" i="10" s="1"/>
  <c r="L554" i="10" s="1"/>
  <c r="J554" i="10" s="1"/>
  <c r="H554" i="10" s="1"/>
  <c r="V554" i="10" s="1"/>
  <c r="S553" i="10"/>
  <c r="N553" i="10"/>
  <c r="L553" i="10" s="1"/>
  <c r="J553" i="10" s="1"/>
  <c r="H553" i="10" s="1"/>
  <c r="V553" i="10" s="1"/>
  <c r="W553" i="10" s="1"/>
  <c r="H550" i="10"/>
  <c r="V550" i="10" s="1"/>
  <c r="W550" i="10" s="1"/>
  <c r="J548" i="10"/>
  <c r="H548" i="10" s="1"/>
  <c r="V548" i="10" s="1"/>
  <c r="W548" i="10" s="1"/>
  <c r="J547" i="10"/>
  <c r="H547" i="10" s="1"/>
  <c r="V547" i="10" s="1"/>
  <c r="W547" i="10" s="1"/>
  <c r="S546" i="10"/>
  <c r="P546" i="10"/>
  <c r="N546" i="10" s="1"/>
  <c r="L546" i="10" s="1"/>
  <c r="J546" i="10" s="1"/>
  <c r="H546" i="10" s="1"/>
  <c r="V546" i="10" s="1"/>
  <c r="D546" i="10"/>
  <c r="E546" i="10" s="1"/>
  <c r="F546" i="10" s="1"/>
  <c r="S544" i="10"/>
  <c r="P544" i="10"/>
  <c r="N544" i="10" s="1"/>
  <c r="L544" i="10" s="1"/>
  <c r="J544" i="10" s="1"/>
  <c r="H544" i="10" s="1"/>
  <c r="V544" i="10" s="1"/>
  <c r="P543" i="10"/>
  <c r="N543" i="10" s="1"/>
  <c r="L543" i="10" s="1"/>
  <c r="J543" i="10" s="1"/>
  <c r="H543" i="10" s="1"/>
  <c r="V543" i="10" s="1"/>
  <c r="W543" i="10" s="1"/>
  <c r="S542" i="10"/>
  <c r="P542" i="10"/>
  <c r="N542" i="10" s="1"/>
  <c r="L542" i="10" s="1"/>
  <c r="J542" i="10" s="1"/>
  <c r="H542" i="10" s="1"/>
  <c r="V542" i="10" s="1"/>
  <c r="D542" i="10"/>
  <c r="E542" i="10" s="1"/>
  <c r="F542" i="10" s="1"/>
  <c r="S541" i="10"/>
  <c r="P541" i="10"/>
  <c r="N541" i="10" s="1"/>
  <c r="L541" i="10" s="1"/>
  <c r="J541" i="10" s="1"/>
  <c r="H541" i="10" s="1"/>
  <c r="V541" i="10" s="1"/>
  <c r="D541" i="10"/>
  <c r="E541" i="10" s="1"/>
  <c r="F541" i="10" s="1"/>
  <c r="S540" i="10"/>
  <c r="P540" i="10"/>
  <c r="N540" i="10" s="1"/>
  <c r="L540" i="10" s="1"/>
  <c r="J540" i="10" s="1"/>
  <c r="H540" i="10" s="1"/>
  <c r="V540" i="10" s="1"/>
  <c r="D540" i="10"/>
  <c r="E540" i="10" s="1"/>
  <c r="F540" i="10" s="1"/>
  <c r="S539" i="10"/>
  <c r="P539" i="10"/>
  <c r="N539" i="10" s="1"/>
  <c r="L539" i="10" s="1"/>
  <c r="J539" i="10" s="1"/>
  <c r="H539" i="10" s="1"/>
  <c r="V539" i="10" s="1"/>
  <c r="D539" i="10"/>
  <c r="E539" i="10" s="1"/>
  <c r="F539" i="10" s="1"/>
  <c r="S538" i="10"/>
  <c r="P538" i="10"/>
  <c r="N538" i="10" s="1"/>
  <c r="L538" i="10" s="1"/>
  <c r="J538" i="10" s="1"/>
  <c r="H538" i="10" s="1"/>
  <c r="V538" i="10" s="1"/>
  <c r="D538" i="10"/>
  <c r="E538" i="10" s="1"/>
  <c r="F538" i="10" s="1"/>
  <c r="S536" i="10"/>
  <c r="P536" i="10"/>
  <c r="N536" i="10" s="1"/>
  <c r="L536" i="10" s="1"/>
  <c r="J536" i="10" s="1"/>
  <c r="H536" i="10" s="1"/>
  <c r="V536" i="10" s="1"/>
  <c r="D536" i="10"/>
  <c r="E536" i="10" s="1"/>
  <c r="F536" i="10" s="1"/>
  <c r="S535" i="10"/>
  <c r="P535" i="10"/>
  <c r="N535" i="10" s="1"/>
  <c r="L535" i="10" s="1"/>
  <c r="J535" i="10" s="1"/>
  <c r="H535" i="10" s="1"/>
  <c r="V535" i="10" s="1"/>
  <c r="D535" i="10"/>
  <c r="E535" i="10" s="1"/>
  <c r="F535" i="10" s="1"/>
  <c r="S533" i="10"/>
  <c r="R533" i="10" s="1"/>
  <c r="P533" i="10" s="1"/>
  <c r="N533" i="10" s="1"/>
  <c r="L533" i="10" s="1"/>
  <c r="J533" i="10" s="1"/>
  <c r="H533" i="10" s="1"/>
  <c r="V533" i="10" s="1"/>
  <c r="D533" i="10"/>
  <c r="E533" i="10" s="1"/>
  <c r="S532" i="10"/>
  <c r="P532" i="10"/>
  <c r="N532" i="10" s="1"/>
  <c r="L532" i="10" s="1"/>
  <c r="J532" i="10" s="1"/>
  <c r="H532" i="10" s="1"/>
  <c r="V532" i="10" s="1"/>
  <c r="D532" i="10"/>
  <c r="E532" i="10" s="1"/>
  <c r="F532" i="10" s="1"/>
  <c r="S528" i="10"/>
  <c r="P528" i="10"/>
  <c r="N528" i="10" s="1"/>
  <c r="L528" i="10" s="1"/>
  <c r="J528" i="10" s="1"/>
  <c r="H528" i="10" s="1"/>
  <c r="V528" i="10" s="1"/>
  <c r="U528" i="10" s="1"/>
  <c r="D528" i="10"/>
  <c r="E528" i="10" s="1"/>
  <c r="F528" i="10" s="1"/>
  <c r="S527" i="10"/>
  <c r="P527" i="10"/>
  <c r="N527" i="10" s="1"/>
  <c r="L527" i="10" s="1"/>
  <c r="J527" i="10" s="1"/>
  <c r="H527" i="10" s="1"/>
  <c r="V527" i="10" s="1"/>
  <c r="D527" i="10"/>
  <c r="E527" i="10" s="1"/>
  <c r="F527" i="10" s="1"/>
  <c r="P523" i="10"/>
  <c r="N523" i="10" s="1"/>
  <c r="L523" i="10" s="1"/>
  <c r="J523" i="10" s="1"/>
  <c r="H523" i="10" s="1"/>
  <c r="V523" i="10" s="1"/>
  <c r="W523" i="10" s="1"/>
  <c r="R522" i="10"/>
  <c r="P522" i="10" s="1"/>
  <c r="N522" i="10" s="1"/>
  <c r="L522" i="10" s="1"/>
  <c r="J522" i="10" s="1"/>
  <c r="H522" i="10" s="1"/>
  <c r="V522" i="10" s="1"/>
  <c r="W522" i="10" s="1"/>
  <c r="P521" i="10"/>
  <c r="N521" i="10" s="1"/>
  <c r="L521" i="10" s="1"/>
  <c r="J521" i="10" s="1"/>
  <c r="H521" i="10" s="1"/>
  <c r="V521" i="10" s="1"/>
  <c r="W521" i="10" s="1"/>
  <c r="P520" i="10"/>
  <c r="N520" i="10" s="1"/>
  <c r="L520" i="10" s="1"/>
  <c r="J520" i="10" s="1"/>
  <c r="H520" i="10" s="1"/>
  <c r="V520" i="10" s="1"/>
  <c r="W520" i="10" s="1"/>
  <c r="S519" i="10"/>
  <c r="P519" i="10"/>
  <c r="N519" i="10" s="1"/>
  <c r="L519" i="10" s="1"/>
  <c r="J519" i="10" s="1"/>
  <c r="H519" i="10" s="1"/>
  <c r="V519" i="10" s="1"/>
  <c r="D519" i="10"/>
  <c r="E519" i="10" s="1"/>
  <c r="F519" i="10" s="1"/>
  <c r="V515" i="10"/>
  <c r="W515" i="10" s="1"/>
  <c r="R515" i="10"/>
  <c r="V514" i="10"/>
  <c r="W514" i="10" s="1"/>
  <c r="R514" i="10"/>
  <c r="V513" i="10"/>
  <c r="W513" i="10" s="1"/>
  <c r="V512" i="10"/>
  <c r="W512" i="10" s="1"/>
  <c r="R512" i="10"/>
  <c r="S511" i="10"/>
  <c r="R511" i="10" s="1"/>
  <c r="P511" i="10" s="1"/>
  <c r="N511" i="10" s="1"/>
  <c r="L511" i="10" s="1"/>
  <c r="J511" i="10" s="1"/>
  <c r="H511" i="10" s="1"/>
  <c r="V511" i="10" s="1"/>
  <c r="F511" i="10"/>
  <c r="H510" i="10"/>
  <c r="V510" i="10" s="1"/>
  <c r="W510" i="10" s="1"/>
  <c r="S509" i="10"/>
  <c r="R509" i="10" s="1"/>
  <c r="P509" i="10" s="1"/>
  <c r="N509" i="10" s="1"/>
  <c r="L509" i="10" s="1"/>
  <c r="J509" i="10" s="1"/>
  <c r="H509" i="10" s="1"/>
  <c r="V509" i="10" s="1"/>
  <c r="F509" i="10"/>
  <c r="D509" i="10"/>
  <c r="S508" i="10"/>
  <c r="R508" i="10" s="1"/>
  <c r="P508" i="10" s="1"/>
  <c r="N508" i="10" s="1"/>
  <c r="L508" i="10" s="1"/>
  <c r="J508" i="10" s="1"/>
  <c r="H508" i="10" s="1"/>
  <c r="V508" i="10" s="1"/>
  <c r="U508" i="10" s="1"/>
  <c r="F508" i="10"/>
  <c r="D508" i="10"/>
  <c r="S507" i="10"/>
  <c r="R507" i="10" s="1"/>
  <c r="P507" i="10" s="1"/>
  <c r="N507" i="10" s="1"/>
  <c r="L507" i="10" s="1"/>
  <c r="J507" i="10" s="1"/>
  <c r="H507" i="10" s="1"/>
  <c r="V507" i="10" s="1"/>
  <c r="F507" i="10"/>
  <c r="D507" i="10"/>
  <c r="S506" i="10"/>
  <c r="R506" i="10" s="1"/>
  <c r="P506" i="10" s="1"/>
  <c r="N506" i="10" s="1"/>
  <c r="L506" i="10" s="1"/>
  <c r="J506" i="10" s="1"/>
  <c r="H506" i="10" s="1"/>
  <c r="V506" i="10" s="1"/>
  <c r="W506" i="10" s="1"/>
  <c r="F506" i="10"/>
  <c r="D506" i="10"/>
  <c r="S505" i="10"/>
  <c r="R505" i="10" s="1"/>
  <c r="P505" i="10" s="1"/>
  <c r="N505" i="10" s="1"/>
  <c r="L505" i="10" s="1"/>
  <c r="J505" i="10" s="1"/>
  <c r="H505" i="10" s="1"/>
  <c r="V505" i="10" s="1"/>
  <c r="D505" i="10"/>
  <c r="E505" i="10" s="1"/>
  <c r="F505" i="10" s="1"/>
  <c r="S504" i="10"/>
  <c r="R504" i="10" s="1"/>
  <c r="P504" i="10" s="1"/>
  <c r="N504" i="10" s="1"/>
  <c r="L504" i="10" s="1"/>
  <c r="J504" i="10" s="1"/>
  <c r="H504" i="10" s="1"/>
  <c r="V504" i="10" s="1"/>
  <c r="D504" i="10"/>
  <c r="E504" i="10" s="1"/>
  <c r="F504" i="10" s="1"/>
  <c r="S502" i="10"/>
  <c r="R502" i="10" s="1"/>
  <c r="P502" i="10" s="1"/>
  <c r="N502" i="10" s="1"/>
  <c r="L502" i="10" s="1"/>
  <c r="J502" i="10" s="1"/>
  <c r="H502" i="10" s="1"/>
  <c r="V502" i="10" s="1"/>
  <c r="F502" i="10"/>
  <c r="D502" i="10"/>
  <c r="S501" i="10"/>
  <c r="R501" i="10" s="1"/>
  <c r="P501" i="10" s="1"/>
  <c r="N501" i="10" s="1"/>
  <c r="L501" i="10" s="1"/>
  <c r="J501" i="10" s="1"/>
  <c r="H501" i="10" s="1"/>
  <c r="V501" i="10" s="1"/>
  <c r="U501" i="10" s="1"/>
  <c r="F501" i="10"/>
  <c r="D501" i="10"/>
  <c r="S500" i="10"/>
  <c r="R500" i="10" s="1"/>
  <c r="P500" i="10" s="1"/>
  <c r="N500" i="10" s="1"/>
  <c r="L500" i="10" s="1"/>
  <c r="J500" i="10" s="1"/>
  <c r="H500" i="10" s="1"/>
  <c r="V500" i="10" s="1"/>
  <c r="F500" i="10"/>
  <c r="D500" i="10"/>
  <c r="S499" i="10"/>
  <c r="R499" i="10" s="1"/>
  <c r="P499" i="10" s="1"/>
  <c r="N499" i="10" s="1"/>
  <c r="L499" i="10" s="1"/>
  <c r="J499" i="10" s="1"/>
  <c r="H499" i="10" s="1"/>
  <c r="V499" i="10" s="1"/>
  <c r="W499" i="10" s="1"/>
  <c r="F499" i="10"/>
  <c r="D499" i="10"/>
  <c r="S498" i="10"/>
  <c r="R498" i="10" s="1"/>
  <c r="P498" i="10" s="1"/>
  <c r="N498" i="10" s="1"/>
  <c r="L498" i="10" s="1"/>
  <c r="J498" i="10" s="1"/>
  <c r="H498" i="10" s="1"/>
  <c r="V498" i="10" s="1"/>
  <c r="F498" i="10"/>
  <c r="S497" i="10"/>
  <c r="R497" i="10" s="1"/>
  <c r="P497" i="10" s="1"/>
  <c r="N497" i="10" s="1"/>
  <c r="L497" i="10" s="1"/>
  <c r="J497" i="10" s="1"/>
  <c r="H497" i="10" s="1"/>
  <c r="V497" i="10" s="1"/>
  <c r="F497" i="10"/>
  <c r="D497" i="10"/>
  <c r="R496" i="10"/>
  <c r="P496" i="10" s="1"/>
  <c r="N496" i="10" s="1"/>
  <c r="L496" i="10" s="1"/>
  <c r="J496" i="10" s="1"/>
  <c r="H496" i="10" s="1"/>
  <c r="V496" i="10" s="1"/>
  <c r="W496" i="10" s="1"/>
  <c r="F496" i="10"/>
  <c r="D496" i="10"/>
  <c r="S495" i="10"/>
  <c r="R495" i="10" s="1"/>
  <c r="P495" i="10" s="1"/>
  <c r="N495" i="10" s="1"/>
  <c r="L495" i="10" s="1"/>
  <c r="J495" i="10" s="1"/>
  <c r="H495" i="10" s="1"/>
  <c r="V495" i="10" s="1"/>
  <c r="F495" i="10"/>
  <c r="D495" i="10"/>
  <c r="R493" i="10"/>
  <c r="N493" i="10"/>
  <c r="L493" i="10" s="1"/>
  <c r="J493" i="10" s="1"/>
  <c r="H493" i="10" s="1"/>
  <c r="V493" i="10" s="1"/>
  <c r="W493" i="10" s="1"/>
  <c r="F493" i="10"/>
  <c r="S492" i="10"/>
  <c r="R492" i="10" s="1"/>
  <c r="P492" i="10" s="1"/>
  <c r="N492" i="10" s="1"/>
  <c r="L492" i="10" s="1"/>
  <c r="J492" i="10" s="1"/>
  <c r="H492" i="10" s="1"/>
  <c r="V492" i="10" s="1"/>
  <c r="S491" i="10"/>
  <c r="R491" i="10" s="1"/>
  <c r="P491" i="10" s="1"/>
  <c r="N491" i="10" s="1"/>
  <c r="L491" i="10" s="1"/>
  <c r="J491" i="10" s="1"/>
  <c r="H491" i="10" s="1"/>
  <c r="V491" i="10" s="1"/>
  <c r="U491" i="10" s="1"/>
  <c r="D491" i="10"/>
  <c r="E491" i="10" s="1"/>
  <c r="S490" i="10"/>
  <c r="R490" i="10" s="1"/>
  <c r="P490" i="10" s="1"/>
  <c r="N490" i="10" s="1"/>
  <c r="L490" i="10" s="1"/>
  <c r="J490" i="10" s="1"/>
  <c r="H490" i="10" s="1"/>
  <c r="V490" i="10" s="1"/>
  <c r="S489" i="10"/>
  <c r="R489" i="10" s="1"/>
  <c r="P489" i="10" s="1"/>
  <c r="N489" i="10" s="1"/>
  <c r="L489" i="10" s="1"/>
  <c r="J489" i="10" s="1"/>
  <c r="H489" i="10" s="1"/>
  <c r="V489" i="10" s="1"/>
  <c r="U489" i="10" s="1"/>
  <c r="D489" i="10"/>
  <c r="E489" i="10" s="1"/>
  <c r="F489" i="10" s="1"/>
  <c r="R486" i="10"/>
  <c r="S485" i="10"/>
  <c r="R485" i="10" s="1"/>
  <c r="P485" i="10" s="1"/>
  <c r="N485" i="10" s="1"/>
  <c r="L485" i="10" s="1"/>
  <c r="J485" i="10" s="1"/>
  <c r="H485" i="10" s="1"/>
  <c r="V485" i="10" s="1"/>
  <c r="D485" i="10"/>
  <c r="E485" i="10" s="1"/>
  <c r="F485" i="10" s="1"/>
  <c r="R484" i="10"/>
  <c r="S483" i="10"/>
  <c r="R483" i="10" s="1"/>
  <c r="P483" i="10" s="1"/>
  <c r="N483" i="10" s="1"/>
  <c r="L483" i="10" s="1"/>
  <c r="J483" i="10" s="1"/>
  <c r="H483" i="10" s="1"/>
  <c r="V483" i="10" s="1"/>
  <c r="D483" i="10"/>
  <c r="E483" i="10" s="1"/>
  <c r="F483" i="10" s="1"/>
  <c r="R482" i="10"/>
  <c r="P482" i="10" s="1"/>
  <c r="N482" i="10" s="1"/>
  <c r="L482" i="10" s="1"/>
  <c r="J482" i="10" s="1"/>
  <c r="H482" i="10" s="1"/>
  <c r="V482" i="10" s="1"/>
  <c r="W482" i="10" s="1"/>
  <c r="S480" i="10"/>
  <c r="R480" i="10" s="1"/>
  <c r="P480" i="10" s="1"/>
  <c r="N480" i="10" s="1"/>
  <c r="L480" i="10" s="1"/>
  <c r="J480" i="10" s="1"/>
  <c r="H480" i="10" s="1"/>
  <c r="V480" i="10" s="1"/>
  <c r="F480" i="10"/>
  <c r="D480" i="10"/>
  <c r="S479" i="10"/>
  <c r="R479" i="10" s="1"/>
  <c r="P479" i="10" s="1"/>
  <c r="N479" i="10" s="1"/>
  <c r="L479" i="10" s="1"/>
  <c r="J479" i="10" s="1"/>
  <c r="H479" i="10" s="1"/>
  <c r="V479" i="10" s="1"/>
  <c r="F479" i="10"/>
  <c r="D479" i="10"/>
  <c r="S478" i="10"/>
  <c r="R478" i="10" s="1"/>
  <c r="P478" i="10" s="1"/>
  <c r="N478" i="10" s="1"/>
  <c r="L478" i="10" s="1"/>
  <c r="J478" i="10" s="1"/>
  <c r="H478" i="10" s="1"/>
  <c r="V478" i="10" s="1"/>
  <c r="D478" i="10"/>
  <c r="E478" i="10" s="1"/>
  <c r="R477" i="10"/>
  <c r="P477" i="10" s="1"/>
  <c r="N477" i="10" s="1"/>
  <c r="L477" i="10" s="1"/>
  <c r="J477" i="10" s="1"/>
  <c r="H477" i="10" s="1"/>
  <c r="V477" i="10" s="1"/>
  <c r="W477" i="10" s="1"/>
  <c r="D477" i="10"/>
  <c r="E477" i="10" s="1"/>
  <c r="F477" i="10" s="1"/>
  <c r="S476" i="10"/>
  <c r="R476" i="10" s="1"/>
  <c r="P476" i="10" s="1"/>
  <c r="N476" i="10" s="1"/>
  <c r="L476" i="10" s="1"/>
  <c r="J476" i="10" s="1"/>
  <c r="H476" i="10" s="1"/>
  <c r="V476" i="10" s="1"/>
  <c r="E476" i="10"/>
  <c r="F476" i="10" s="1"/>
  <c r="R474" i="10"/>
  <c r="P474" i="10" s="1"/>
  <c r="N474" i="10" s="1"/>
  <c r="L474" i="10" s="1"/>
  <c r="J474" i="10" s="1"/>
  <c r="H474" i="10" s="1"/>
  <c r="V474" i="10" s="1"/>
  <c r="W474" i="10" s="1"/>
  <c r="S473" i="10"/>
  <c r="R473" i="10" s="1"/>
  <c r="P473" i="10" s="1"/>
  <c r="N473" i="10" s="1"/>
  <c r="J473" i="10"/>
  <c r="H473" i="10" s="1"/>
  <c r="V473" i="10" s="1"/>
  <c r="W473" i="10" s="1"/>
  <c r="S471" i="10"/>
  <c r="R471" i="10" s="1"/>
  <c r="P471" i="10" s="1"/>
  <c r="N471" i="10" s="1"/>
  <c r="L471" i="10" s="1"/>
  <c r="J471" i="10" s="1"/>
  <c r="H471" i="10" s="1"/>
  <c r="V471" i="10" s="1"/>
  <c r="D471" i="10"/>
  <c r="E471" i="10" s="1"/>
  <c r="F471" i="10" s="1"/>
  <c r="S470" i="10"/>
  <c r="R470" i="10" s="1"/>
  <c r="P470" i="10" s="1"/>
  <c r="N470" i="10" s="1"/>
  <c r="L470" i="10" s="1"/>
  <c r="J470" i="10" s="1"/>
  <c r="H470" i="10" s="1"/>
  <c r="V470" i="10" s="1"/>
  <c r="D470" i="10"/>
  <c r="E470" i="10" s="1"/>
  <c r="F470" i="10" s="1"/>
  <c r="S469" i="10"/>
  <c r="R469" i="10" s="1"/>
  <c r="P469" i="10" s="1"/>
  <c r="N469" i="10" s="1"/>
  <c r="L469" i="10" s="1"/>
  <c r="J469" i="10" s="1"/>
  <c r="H469" i="10" s="1"/>
  <c r="V469" i="10" s="1"/>
  <c r="S467" i="10"/>
  <c r="R467" i="10" s="1"/>
  <c r="P467" i="10" s="1"/>
  <c r="N467" i="10" s="1"/>
  <c r="L467" i="10" s="1"/>
  <c r="J467" i="10" s="1"/>
  <c r="H467" i="10" s="1"/>
  <c r="V467" i="10" s="1"/>
  <c r="D467" i="10"/>
  <c r="E467" i="10" s="1"/>
  <c r="F467" i="10" s="1"/>
  <c r="S466" i="10"/>
  <c r="R466" i="10" s="1"/>
  <c r="P466" i="10" s="1"/>
  <c r="N466" i="10" s="1"/>
  <c r="L466" i="10" s="1"/>
  <c r="J466" i="10" s="1"/>
  <c r="H466" i="10" s="1"/>
  <c r="V466" i="10" s="1"/>
  <c r="S465" i="10"/>
  <c r="R465" i="10" s="1"/>
  <c r="P465" i="10" s="1"/>
  <c r="N465" i="10" s="1"/>
  <c r="L465" i="10" s="1"/>
  <c r="J465" i="10" s="1"/>
  <c r="H465" i="10" s="1"/>
  <c r="V465" i="10" s="1"/>
  <c r="D465" i="10"/>
  <c r="E465" i="10" s="1"/>
  <c r="F465" i="10" s="1"/>
  <c r="S464" i="10"/>
  <c r="R464" i="10" s="1"/>
  <c r="P464" i="10" s="1"/>
  <c r="N464" i="10" s="1"/>
  <c r="L464" i="10" s="1"/>
  <c r="J464" i="10" s="1"/>
  <c r="H464" i="10" s="1"/>
  <c r="V464" i="10" s="1"/>
  <c r="D464" i="10"/>
  <c r="E464" i="10" s="1"/>
  <c r="F464" i="10" s="1"/>
  <c r="S463" i="10"/>
  <c r="R463" i="10" s="1"/>
  <c r="P463" i="10" s="1"/>
  <c r="N463" i="10" s="1"/>
  <c r="L463" i="10" s="1"/>
  <c r="J463" i="10" s="1"/>
  <c r="H463" i="10" s="1"/>
  <c r="V463" i="10" s="1"/>
  <c r="D463" i="10"/>
  <c r="E463" i="10" s="1"/>
  <c r="F463" i="10" s="1"/>
  <c r="S462" i="10"/>
  <c r="R462" i="10" s="1"/>
  <c r="P462" i="10" s="1"/>
  <c r="N462" i="10" s="1"/>
  <c r="L462" i="10" s="1"/>
  <c r="J462" i="10" s="1"/>
  <c r="H462" i="10" s="1"/>
  <c r="V462" i="10" s="1"/>
  <c r="D462" i="10"/>
  <c r="E462" i="10" s="1"/>
  <c r="F462" i="10" s="1"/>
  <c r="S461" i="10"/>
  <c r="R461" i="10" s="1"/>
  <c r="P461" i="10" s="1"/>
  <c r="N461" i="10" s="1"/>
  <c r="L461" i="10" s="1"/>
  <c r="J461" i="10" s="1"/>
  <c r="H461" i="10" s="1"/>
  <c r="V461" i="10" s="1"/>
  <c r="D461" i="10"/>
  <c r="R460" i="10"/>
  <c r="P460" i="10" s="1"/>
  <c r="N460" i="10" s="1"/>
  <c r="L460" i="10" s="1"/>
  <c r="J460" i="10" s="1"/>
  <c r="H460" i="10" s="1"/>
  <c r="V460" i="10" s="1"/>
  <c r="W460" i="10" s="1"/>
  <c r="F460" i="10"/>
  <c r="S458" i="10"/>
  <c r="R458" i="10" s="1"/>
  <c r="P458" i="10" s="1"/>
  <c r="N458" i="10" s="1"/>
  <c r="L458" i="10" s="1"/>
  <c r="J458" i="10" s="1"/>
  <c r="H458" i="10" s="1"/>
  <c r="V458" i="10" s="1"/>
  <c r="E458" i="10"/>
  <c r="F458" i="10" s="1"/>
  <c r="S457" i="10"/>
  <c r="R457" i="10" s="1"/>
  <c r="P457" i="10" s="1"/>
  <c r="N457" i="10" s="1"/>
  <c r="L457" i="10" s="1"/>
  <c r="J457" i="10" s="1"/>
  <c r="H457" i="10" s="1"/>
  <c r="V457" i="10" s="1"/>
  <c r="E457" i="10"/>
  <c r="F457" i="10" s="1"/>
  <c r="S456" i="10"/>
  <c r="R456" i="10" s="1"/>
  <c r="P456" i="10" s="1"/>
  <c r="N456" i="10" s="1"/>
  <c r="L456" i="10" s="1"/>
  <c r="J456" i="10" s="1"/>
  <c r="H456" i="10" s="1"/>
  <c r="V456" i="10" s="1"/>
  <c r="F456" i="10"/>
  <c r="S455" i="10"/>
  <c r="R455" i="10" s="1"/>
  <c r="P455" i="10" s="1"/>
  <c r="N455" i="10" s="1"/>
  <c r="L455" i="10" s="1"/>
  <c r="J455" i="10" s="1"/>
  <c r="H455" i="10" s="1"/>
  <c r="V455" i="10" s="1"/>
  <c r="D455" i="10"/>
  <c r="E455" i="10" s="1"/>
  <c r="F455" i="10" s="1"/>
  <c r="S454" i="10"/>
  <c r="R454" i="10" s="1"/>
  <c r="P454" i="10" s="1"/>
  <c r="N454" i="10" s="1"/>
  <c r="L454" i="10" s="1"/>
  <c r="J454" i="10" s="1"/>
  <c r="H454" i="10" s="1"/>
  <c r="V454" i="10" s="1"/>
  <c r="D454" i="10"/>
  <c r="E454" i="10" s="1"/>
  <c r="F454" i="10" s="1"/>
  <c r="S453" i="10"/>
  <c r="R453" i="10" s="1"/>
  <c r="P453" i="10" s="1"/>
  <c r="N453" i="10" s="1"/>
  <c r="L453" i="10" s="1"/>
  <c r="J453" i="10" s="1"/>
  <c r="H453" i="10" s="1"/>
  <c r="V453" i="10" s="1"/>
  <c r="D453" i="10"/>
  <c r="E453" i="10" s="1"/>
  <c r="F453" i="10" s="1"/>
  <c r="S452" i="10"/>
  <c r="R452" i="10" s="1"/>
  <c r="P452" i="10" s="1"/>
  <c r="N452" i="10" s="1"/>
  <c r="L452" i="10" s="1"/>
  <c r="J452" i="10" s="1"/>
  <c r="H452" i="10" s="1"/>
  <c r="V452" i="10" s="1"/>
  <c r="D452" i="10"/>
  <c r="E452" i="10" s="1"/>
  <c r="F452" i="10" s="1"/>
  <c r="S451" i="10"/>
  <c r="R451" i="10" s="1"/>
  <c r="P451" i="10" s="1"/>
  <c r="N451" i="10" s="1"/>
  <c r="L451" i="10" s="1"/>
  <c r="J451" i="10" s="1"/>
  <c r="H451" i="10" s="1"/>
  <c r="V451" i="10" s="1"/>
  <c r="D451" i="10"/>
  <c r="E451" i="10" s="1"/>
  <c r="F451" i="10" s="1"/>
  <c r="S450" i="10"/>
  <c r="R450" i="10" s="1"/>
  <c r="P450" i="10" s="1"/>
  <c r="N450" i="10" s="1"/>
  <c r="L450" i="10" s="1"/>
  <c r="J450" i="10" s="1"/>
  <c r="H450" i="10" s="1"/>
  <c r="V450" i="10" s="1"/>
  <c r="D450" i="10"/>
  <c r="E450" i="10" s="1"/>
  <c r="F450" i="10" s="1"/>
  <c r="S448" i="10"/>
  <c r="R448" i="10" s="1"/>
  <c r="P448" i="10" s="1"/>
  <c r="N448" i="10" s="1"/>
  <c r="L448" i="10" s="1"/>
  <c r="J448" i="10" s="1"/>
  <c r="H448" i="10" s="1"/>
  <c r="V448" i="10" s="1"/>
  <c r="S447" i="10"/>
  <c r="R447" i="10" s="1"/>
  <c r="P447" i="10" s="1"/>
  <c r="N447" i="10" s="1"/>
  <c r="L447" i="10" s="1"/>
  <c r="J447" i="10" s="1"/>
  <c r="H447" i="10" s="1"/>
  <c r="V447" i="10" s="1"/>
  <c r="D447" i="10"/>
  <c r="E447" i="10" s="1"/>
  <c r="F447" i="10" s="1"/>
  <c r="S446" i="10"/>
  <c r="R446" i="10" s="1"/>
  <c r="P446" i="10" s="1"/>
  <c r="N446" i="10" s="1"/>
  <c r="L446" i="10" s="1"/>
  <c r="J446" i="10" s="1"/>
  <c r="H446" i="10" s="1"/>
  <c r="V446" i="10" s="1"/>
  <c r="D446" i="10"/>
  <c r="E446" i="10" s="1"/>
  <c r="F446" i="10" s="1"/>
  <c r="S445" i="10"/>
  <c r="R445" i="10" s="1"/>
  <c r="P445" i="10" s="1"/>
  <c r="N445" i="10" s="1"/>
  <c r="L445" i="10" s="1"/>
  <c r="J445" i="10" s="1"/>
  <c r="H445" i="10" s="1"/>
  <c r="V445" i="10" s="1"/>
  <c r="D445" i="10"/>
  <c r="E445" i="10" s="1"/>
  <c r="F445" i="10" s="1"/>
  <c r="S444" i="10"/>
  <c r="R444" i="10" s="1"/>
  <c r="P444" i="10" s="1"/>
  <c r="N444" i="10" s="1"/>
  <c r="L444" i="10" s="1"/>
  <c r="J444" i="10" s="1"/>
  <c r="H444" i="10" s="1"/>
  <c r="V444" i="10" s="1"/>
  <c r="D444" i="10"/>
  <c r="E444" i="10" s="1"/>
  <c r="F444" i="10" s="1"/>
  <c r="S443" i="10"/>
  <c r="R443" i="10" s="1"/>
  <c r="P443" i="10" s="1"/>
  <c r="N443" i="10" s="1"/>
  <c r="L443" i="10" s="1"/>
  <c r="J443" i="10" s="1"/>
  <c r="H443" i="10" s="1"/>
  <c r="V443" i="10" s="1"/>
  <c r="D443" i="10"/>
  <c r="E443" i="10" s="1"/>
  <c r="F443" i="10" s="1"/>
  <c r="S442" i="10"/>
  <c r="R442" i="10" s="1"/>
  <c r="P442" i="10" s="1"/>
  <c r="N442" i="10" s="1"/>
  <c r="L442" i="10" s="1"/>
  <c r="J442" i="10" s="1"/>
  <c r="H442" i="10" s="1"/>
  <c r="V442" i="10" s="1"/>
  <c r="D442" i="10"/>
  <c r="E442" i="10" s="1"/>
  <c r="F442" i="10" s="1"/>
  <c r="S440" i="10"/>
  <c r="R440" i="10" s="1"/>
  <c r="P440" i="10" s="1"/>
  <c r="N440" i="10" s="1"/>
  <c r="L440" i="10" s="1"/>
  <c r="J440" i="10" s="1"/>
  <c r="H440" i="10" s="1"/>
  <c r="V440" i="10" s="1"/>
  <c r="D440" i="10"/>
  <c r="E440" i="10" s="1"/>
  <c r="F440" i="10" s="1"/>
  <c r="R439" i="10"/>
  <c r="N439" i="10"/>
  <c r="L439" i="10" s="1"/>
  <c r="J439" i="10" s="1"/>
  <c r="H439" i="10" s="1"/>
  <c r="V439" i="10" s="1"/>
  <c r="W439" i="10" s="1"/>
  <c r="D439" i="10"/>
  <c r="E439" i="10" s="1"/>
  <c r="F439" i="10" s="1"/>
  <c r="R438" i="10"/>
  <c r="N438" i="10"/>
  <c r="L438" i="10" s="1"/>
  <c r="J438" i="10" s="1"/>
  <c r="H438" i="10" s="1"/>
  <c r="V438" i="10" s="1"/>
  <c r="W438" i="10" s="1"/>
  <c r="R426" i="10"/>
  <c r="H426" i="10"/>
  <c r="V426" i="10" s="1"/>
  <c r="W426" i="10" s="1"/>
  <c r="S425" i="10"/>
  <c r="R425" i="10" s="1"/>
  <c r="P425" i="10" s="1"/>
  <c r="N425" i="10" s="1"/>
  <c r="L425" i="10" s="1"/>
  <c r="J425" i="10" s="1"/>
  <c r="H425" i="10" s="1"/>
  <c r="V425" i="10" s="1"/>
  <c r="S424" i="10"/>
  <c r="R424" i="10" s="1"/>
  <c r="P424" i="10" s="1"/>
  <c r="N424" i="10" s="1"/>
  <c r="L424" i="10" s="1"/>
  <c r="J424" i="10" s="1"/>
  <c r="H424" i="10" s="1"/>
  <c r="V424" i="10" s="1"/>
  <c r="F424" i="10"/>
  <c r="H423" i="10"/>
  <c r="V423" i="10" s="1"/>
  <c r="W423" i="10" s="1"/>
  <c r="S422" i="10"/>
  <c r="R422" i="10" s="1"/>
  <c r="P422" i="10" s="1"/>
  <c r="N422" i="10" s="1"/>
  <c r="L422" i="10" s="1"/>
  <c r="J422" i="10" s="1"/>
  <c r="H422" i="10" s="1"/>
  <c r="V422" i="10" s="1"/>
  <c r="S421" i="10"/>
  <c r="R421" i="10" s="1"/>
  <c r="P421" i="10" s="1"/>
  <c r="N421" i="10" s="1"/>
  <c r="L421" i="10" s="1"/>
  <c r="J421" i="10" s="1"/>
  <c r="H421" i="10" s="1"/>
  <c r="V421" i="10" s="1"/>
  <c r="S420" i="10"/>
  <c r="R420" i="10" s="1"/>
  <c r="P420" i="10" s="1"/>
  <c r="N420" i="10" s="1"/>
  <c r="L420" i="10" s="1"/>
  <c r="J420" i="10" s="1"/>
  <c r="H420" i="10" s="1"/>
  <c r="V420" i="10" s="1"/>
  <c r="F420" i="10"/>
  <c r="D420" i="10"/>
  <c r="S419" i="10"/>
  <c r="R419" i="10" s="1"/>
  <c r="P419" i="10" s="1"/>
  <c r="N419" i="10" s="1"/>
  <c r="L419" i="10" s="1"/>
  <c r="J419" i="10" s="1"/>
  <c r="H419" i="10" s="1"/>
  <c r="V419" i="10" s="1"/>
  <c r="D419" i="10"/>
  <c r="E419" i="10" s="1"/>
  <c r="F419" i="10" s="1"/>
  <c r="S418" i="10"/>
  <c r="R418" i="10" s="1"/>
  <c r="P418" i="10" s="1"/>
  <c r="N418" i="10" s="1"/>
  <c r="L418" i="10" s="1"/>
  <c r="J418" i="10" s="1"/>
  <c r="H418" i="10" s="1"/>
  <c r="V418" i="10" s="1"/>
  <c r="D418" i="10"/>
  <c r="E418" i="10" s="1"/>
  <c r="F418" i="10" s="1"/>
  <c r="S417" i="10"/>
  <c r="R417" i="10" s="1"/>
  <c r="P417" i="10" s="1"/>
  <c r="N417" i="10" s="1"/>
  <c r="L417" i="10" s="1"/>
  <c r="J417" i="10" s="1"/>
  <c r="H417" i="10" s="1"/>
  <c r="V417" i="10" s="1"/>
  <c r="D417" i="10"/>
  <c r="E417" i="10" s="1"/>
  <c r="F417" i="10" s="1"/>
  <c r="S416" i="10"/>
  <c r="R416" i="10" s="1"/>
  <c r="P416" i="10" s="1"/>
  <c r="N416" i="10" s="1"/>
  <c r="L416" i="10" s="1"/>
  <c r="J416" i="10" s="1"/>
  <c r="H416" i="10" s="1"/>
  <c r="V416" i="10" s="1"/>
  <c r="D416" i="10"/>
  <c r="E416" i="10" s="1"/>
  <c r="F416" i="10" s="1"/>
  <c r="S415" i="10"/>
  <c r="R415" i="10" s="1"/>
  <c r="P415" i="10" s="1"/>
  <c r="N415" i="10" s="1"/>
  <c r="L415" i="10" s="1"/>
  <c r="J415" i="10" s="1"/>
  <c r="H415" i="10" s="1"/>
  <c r="V415" i="10" s="1"/>
  <c r="W415" i="10" s="1"/>
  <c r="D415" i="10"/>
  <c r="E415" i="10" s="1"/>
  <c r="F415" i="10" s="1"/>
  <c r="S414" i="10"/>
  <c r="R414" i="10" s="1"/>
  <c r="P414" i="10" s="1"/>
  <c r="N414" i="10" s="1"/>
  <c r="L414" i="10" s="1"/>
  <c r="J414" i="10" s="1"/>
  <c r="H414" i="10" s="1"/>
  <c r="V414" i="10" s="1"/>
  <c r="U414" i="10" s="1"/>
  <c r="D414" i="10"/>
  <c r="E414" i="10" s="1"/>
  <c r="F414" i="10" s="1"/>
  <c r="S413" i="10"/>
  <c r="R413" i="10" s="1"/>
  <c r="P413" i="10" s="1"/>
  <c r="N413" i="10" s="1"/>
  <c r="L413" i="10" s="1"/>
  <c r="J413" i="10" s="1"/>
  <c r="H413" i="10" s="1"/>
  <c r="V413" i="10" s="1"/>
  <c r="D413" i="10"/>
  <c r="E413" i="10" s="1"/>
  <c r="F413" i="10" s="1"/>
  <c r="L412" i="10"/>
  <c r="J412" i="10" s="1"/>
  <c r="H412" i="10" s="1"/>
  <c r="V412" i="10" s="1"/>
  <c r="W412" i="10" s="1"/>
  <c r="S411" i="10"/>
  <c r="R411" i="10" s="1"/>
  <c r="P411" i="10" s="1"/>
  <c r="N411" i="10" s="1"/>
  <c r="L411" i="10" s="1"/>
  <c r="J411" i="10" s="1"/>
  <c r="H411" i="10" s="1"/>
  <c r="V411" i="10" s="1"/>
  <c r="N410" i="10"/>
  <c r="L410" i="10" s="1"/>
  <c r="J410" i="10" s="1"/>
  <c r="H410" i="10" s="1"/>
  <c r="V410" i="10" s="1"/>
  <c r="W410" i="10" s="1"/>
  <c r="S408" i="10"/>
  <c r="R408" i="10" s="1"/>
  <c r="P408" i="10" s="1"/>
  <c r="N408" i="10" s="1"/>
  <c r="L408" i="10" s="1"/>
  <c r="J408" i="10" s="1"/>
  <c r="H408" i="10" s="1"/>
  <c r="V408" i="10" s="1"/>
  <c r="S407" i="10"/>
  <c r="R407" i="10" s="1"/>
  <c r="P407" i="10" s="1"/>
  <c r="N407" i="10" s="1"/>
  <c r="L407" i="10" s="1"/>
  <c r="J407" i="10" s="1"/>
  <c r="H407" i="10" s="1"/>
  <c r="V407" i="10" s="1"/>
  <c r="R406" i="10"/>
  <c r="H406" i="10"/>
  <c r="V406" i="10" s="1"/>
  <c r="W406" i="10" s="1"/>
  <c r="S405" i="10"/>
  <c r="R405" i="10" s="1"/>
  <c r="P405" i="10" s="1"/>
  <c r="N405" i="10" s="1"/>
  <c r="L405" i="10" s="1"/>
  <c r="J405" i="10" s="1"/>
  <c r="H405" i="10" s="1"/>
  <c r="V405" i="10" s="1"/>
  <c r="D405" i="10"/>
  <c r="E405" i="10" s="1"/>
  <c r="S404" i="10"/>
  <c r="R404" i="10" s="1"/>
  <c r="P404" i="10" s="1"/>
  <c r="N404" i="10" s="1"/>
  <c r="L404" i="10" s="1"/>
  <c r="J404" i="10" s="1"/>
  <c r="H404" i="10" s="1"/>
  <c r="V404" i="10" s="1"/>
  <c r="F404" i="10"/>
  <c r="D404" i="10"/>
  <c r="S403" i="10"/>
  <c r="R403" i="10" s="1"/>
  <c r="P403" i="10" s="1"/>
  <c r="N403" i="10" s="1"/>
  <c r="L403" i="10" s="1"/>
  <c r="J403" i="10" s="1"/>
  <c r="H403" i="10" s="1"/>
  <c r="V403" i="10" s="1"/>
  <c r="D403" i="10"/>
  <c r="E403" i="10" s="1"/>
  <c r="F403" i="10" s="1"/>
  <c r="S402" i="10"/>
  <c r="R402" i="10" s="1"/>
  <c r="P402" i="10" s="1"/>
  <c r="N402" i="10" s="1"/>
  <c r="L402" i="10" s="1"/>
  <c r="J402" i="10" s="1"/>
  <c r="H402" i="10" s="1"/>
  <c r="V402" i="10" s="1"/>
  <c r="D402" i="10"/>
  <c r="E402" i="10" s="1"/>
  <c r="F402" i="10" s="1"/>
  <c r="S401" i="10"/>
  <c r="R401" i="10" s="1"/>
  <c r="P401" i="10" s="1"/>
  <c r="N401" i="10" s="1"/>
  <c r="L401" i="10" s="1"/>
  <c r="H401" i="10"/>
  <c r="V401" i="10" s="1"/>
  <c r="D401" i="10"/>
  <c r="E401" i="10" s="1"/>
  <c r="F401" i="10" s="1"/>
  <c r="S400" i="10"/>
  <c r="R400" i="10" s="1"/>
  <c r="P400" i="10" s="1"/>
  <c r="N400" i="10" s="1"/>
  <c r="L400" i="10" s="1"/>
  <c r="H400" i="10"/>
  <c r="V400" i="10" s="1"/>
  <c r="U400" i="10" s="1"/>
  <c r="D400" i="10"/>
  <c r="E400" i="10" s="1"/>
  <c r="F400" i="10" s="1"/>
  <c r="S399" i="10"/>
  <c r="R399" i="10" s="1"/>
  <c r="P399" i="10" s="1"/>
  <c r="N399" i="10" s="1"/>
  <c r="L399" i="10" s="1"/>
  <c r="J399" i="10" s="1"/>
  <c r="H399" i="10" s="1"/>
  <c r="V399" i="10" s="1"/>
  <c r="D399" i="10"/>
  <c r="E399" i="10" s="1"/>
  <c r="F399" i="10" s="1"/>
  <c r="S398" i="10"/>
  <c r="R398" i="10" s="1"/>
  <c r="P398" i="10" s="1"/>
  <c r="N398" i="10" s="1"/>
  <c r="L398" i="10" s="1"/>
  <c r="J398" i="10" s="1"/>
  <c r="H398" i="10" s="1"/>
  <c r="V398" i="10" s="1"/>
  <c r="D398" i="10"/>
  <c r="E398" i="10" s="1"/>
  <c r="F398" i="10" s="1"/>
  <c r="S397" i="10"/>
  <c r="R397" i="10" s="1"/>
  <c r="P397" i="10" s="1"/>
  <c r="N397" i="10" s="1"/>
  <c r="L397" i="10" s="1"/>
  <c r="J397" i="10" s="1"/>
  <c r="H397" i="10" s="1"/>
  <c r="V397" i="10" s="1"/>
  <c r="F397" i="10"/>
  <c r="D397" i="10"/>
  <c r="V396" i="10"/>
  <c r="W396" i="10" s="1"/>
  <c r="S395" i="10"/>
  <c r="R395" i="10" s="1"/>
  <c r="P395" i="10" s="1"/>
  <c r="N395" i="10" s="1"/>
  <c r="L395" i="10" s="1"/>
  <c r="J395" i="10" s="1"/>
  <c r="H395" i="10" s="1"/>
  <c r="V395" i="10" s="1"/>
  <c r="R394" i="10"/>
  <c r="P394" i="10" s="1"/>
  <c r="N394" i="10" s="1"/>
  <c r="L394" i="10" s="1"/>
  <c r="J394" i="10" s="1"/>
  <c r="H394" i="10" s="1"/>
  <c r="V394" i="10" s="1"/>
  <c r="W394" i="10" s="1"/>
  <c r="R390" i="10"/>
  <c r="R388" i="10"/>
  <c r="R387" i="10"/>
  <c r="H387" i="10"/>
  <c r="V387" i="10" s="1"/>
  <c r="W387" i="10" s="1"/>
  <c r="R386" i="10"/>
  <c r="S385" i="10"/>
  <c r="R385" i="10" s="1"/>
  <c r="P385" i="10" s="1"/>
  <c r="N385" i="10" s="1"/>
  <c r="L385" i="10" s="1"/>
  <c r="J385" i="10" s="1"/>
  <c r="H385" i="10" s="1"/>
  <c r="V385" i="10" s="1"/>
  <c r="F385" i="10"/>
  <c r="S384" i="10"/>
  <c r="R384" i="10" s="1"/>
  <c r="P384" i="10" s="1"/>
  <c r="N384" i="10" s="1"/>
  <c r="L384" i="10" s="1"/>
  <c r="J384" i="10" s="1"/>
  <c r="H384" i="10" s="1"/>
  <c r="V384" i="10" s="1"/>
  <c r="F384" i="10"/>
  <c r="S383" i="10"/>
  <c r="R383" i="10" s="1"/>
  <c r="P383" i="10" s="1"/>
  <c r="N383" i="10" s="1"/>
  <c r="L383" i="10" s="1"/>
  <c r="J383" i="10" s="1"/>
  <c r="H383" i="10" s="1"/>
  <c r="V383" i="10" s="1"/>
  <c r="D383" i="10"/>
  <c r="E383" i="10" s="1"/>
  <c r="F383" i="10" s="1"/>
  <c r="S382" i="10"/>
  <c r="R382" i="10" s="1"/>
  <c r="P382" i="10" s="1"/>
  <c r="N382" i="10" s="1"/>
  <c r="L382" i="10" s="1"/>
  <c r="J382" i="10" s="1"/>
  <c r="H382" i="10" s="1"/>
  <c r="V382" i="10" s="1"/>
  <c r="D382" i="10"/>
  <c r="E382" i="10" s="1"/>
  <c r="F382" i="10" s="1"/>
  <c r="S381" i="10"/>
  <c r="R381" i="10" s="1"/>
  <c r="P381" i="10" s="1"/>
  <c r="N381" i="10" s="1"/>
  <c r="L381" i="10" s="1"/>
  <c r="J381" i="10" s="1"/>
  <c r="H381" i="10" s="1"/>
  <c r="V381" i="10" s="1"/>
  <c r="D381" i="10"/>
  <c r="E381" i="10" s="1"/>
  <c r="F381" i="10" s="1"/>
  <c r="S380" i="10"/>
  <c r="R380" i="10" s="1"/>
  <c r="P380" i="10" s="1"/>
  <c r="N380" i="10" s="1"/>
  <c r="L380" i="10" s="1"/>
  <c r="J380" i="10" s="1"/>
  <c r="H380" i="10" s="1"/>
  <c r="V380" i="10" s="1"/>
  <c r="D380" i="10"/>
  <c r="E380" i="10" s="1"/>
  <c r="F380" i="10" s="1"/>
  <c r="S378" i="10"/>
  <c r="R378" i="10" s="1"/>
  <c r="P378" i="10" s="1"/>
  <c r="N378" i="10" s="1"/>
  <c r="L378" i="10" s="1"/>
  <c r="J378" i="10" s="1"/>
  <c r="H378" i="10" s="1"/>
  <c r="V378" i="10" s="1"/>
  <c r="D378" i="10"/>
  <c r="E378" i="10" s="1"/>
  <c r="F378" i="10" s="1"/>
  <c r="S377" i="10"/>
  <c r="R377" i="10" s="1"/>
  <c r="P377" i="10" s="1"/>
  <c r="N377" i="10" s="1"/>
  <c r="L377" i="10" s="1"/>
  <c r="J377" i="10" s="1"/>
  <c r="H377" i="10" s="1"/>
  <c r="V377" i="10" s="1"/>
  <c r="D377" i="10"/>
  <c r="E377" i="10" s="1"/>
  <c r="F377" i="10" s="1"/>
  <c r="R376" i="10"/>
  <c r="P376" i="10" s="1"/>
  <c r="N376" i="10" s="1"/>
  <c r="L376" i="10" s="1"/>
  <c r="J376" i="10" s="1"/>
  <c r="H376" i="10" s="1"/>
  <c r="V376" i="10" s="1"/>
  <c r="W376" i="10" s="1"/>
  <c r="D376" i="10"/>
  <c r="E376" i="10" s="1"/>
  <c r="F376" i="10" s="1"/>
  <c r="S375" i="10"/>
  <c r="R375" i="10" s="1"/>
  <c r="P375" i="10" s="1"/>
  <c r="N375" i="10" s="1"/>
  <c r="L375" i="10" s="1"/>
  <c r="J375" i="10" s="1"/>
  <c r="H375" i="10" s="1"/>
  <c r="V375" i="10" s="1"/>
  <c r="D375" i="10"/>
  <c r="E375" i="10" s="1"/>
  <c r="F375" i="10" s="1"/>
  <c r="S374" i="10"/>
  <c r="R374" i="10" s="1"/>
  <c r="L374" i="10"/>
  <c r="J374" i="10" s="1"/>
  <c r="H374" i="10" s="1"/>
  <c r="V374" i="10" s="1"/>
  <c r="D374" i="10"/>
  <c r="E374" i="10" s="1"/>
  <c r="F374" i="10" s="1"/>
  <c r="R373" i="10"/>
  <c r="P373" i="10" s="1"/>
  <c r="N373" i="10" s="1"/>
  <c r="L373" i="10" s="1"/>
  <c r="J373" i="10" s="1"/>
  <c r="H373" i="10" s="1"/>
  <c r="V373" i="10" s="1"/>
  <c r="W373" i="10" s="1"/>
  <c r="D373" i="10"/>
  <c r="E373" i="10" s="1"/>
  <c r="F373" i="10" s="1"/>
  <c r="S372" i="10"/>
  <c r="R372" i="10" s="1"/>
  <c r="P372" i="10" s="1"/>
  <c r="N372" i="10" s="1"/>
  <c r="L372" i="10" s="1"/>
  <c r="J372" i="10" s="1"/>
  <c r="H372" i="10" s="1"/>
  <c r="V372" i="10" s="1"/>
  <c r="D372" i="10"/>
  <c r="E372" i="10" s="1"/>
  <c r="F372" i="10" s="1"/>
  <c r="S371" i="10"/>
  <c r="R371" i="10" s="1"/>
  <c r="P371" i="10" s="1"/>
  <c r="N371" i="10" s="1"/>
  <c r="L371" i="10" s="1"/>
  <c r="J371" i="10" s="1"/>
  <c r="H371" i="10" s="1"/>
  <c r="V371" i="10" s="1"/>
  <c r="D371" i="10"/>
  <c r="E371" i="10" s="1"/>
  <c r="F371" i="10" s="1"/>
  <c r="V367" i="10"/>
  <c r="W367" i="10" s="1"/>
  <c r="V366" i="10"/>
  <c r="W366" i="10" s="1"/>
  <c r="S365" i="10"/>
  <c r="R365" i="10" s="1"/>
  <c r="P365" i="10" s="1"/>
  <c r="N365" i="10" s="1"/>
  <c r="L365" i="10" s="1"/>
  <c r="J365" i="10" s="1"/>
  <c r="H365" i="10" s="1"/>
  <c r="V365" i="10" s="1"/>
  <c r="D365" i="10"/>
  <c r="E365" i="10" s="1"/>
  <c r="F365" i="10" s="1"/>
  <c r="S364" i="10"/>
  <c r="R364" i="10" s="1"/>
  <c r="P364" i="10" s="1"/>
  <c r="N364" i="10" s="1"/>
  <c r="L364" i="10" s="1"/>
  <c r="J364" i="10" s="1"/>
  <c r="H364" i="10" s="1"/>
  <c r="V364" i="10" s="1"/>
  <c r="D364" i="10"/>
  <c r="E364" i="10" s="1"/>
  <c r="F364" i="10" s="1"/>
  <c r="S363" i="10"/>
  <c r="R363" i="10" s="1"/>
  <c r="P363" i="10" s="1"/>
  <c r="N363" i="10" s="1"/>
  <c r="L363" i="10" s="1"/>
  <c r="J363" i="10" s="1"/>
  <c r="H363" i="10" s="1"/>
  <c r="V363" i="10" s="1"/>
  <c r="D363" i="10"/>
  <c r="E363" i="10" s="1"/>
  <c r="F363" i="10" s="1"/>
  <c r="S362" i="10"/>
  <c r="R362" i="10" s="1"/>
  <c r="P362" i="10" s="1"/>
  <c r="N362" i="10" s="1"/>
  <c r="L362" i="10" s="1"/>
  <c r="J362" i="10" s="1"/>
  <c r="H362" i="10" s="1"/>
  <c r="V362" i="10" s="1"/>
  <c r="U362" i="10" s="1"/>
  <c r="D362" i="10"/>
  <c r="E362" i="10" s="1"/>
  <c r="F362" i="10" s="1"/>
  <c r="S361" i="10"/>
  <c r="R361" i="10" s="1"/>
  <c r="P361" i="10" s="1"/>
  <c r="N361" i="10" s="1"/>
  <c r="L361" i="10" s="1"/>
  <c r="J361" i="10" s="1"/>
  <c r="H361" i="10" s="1"/>
  <c r="V361" i="10" s="1"/>
  <c r="U361" i="10" s="1"/>
  <c r="D361" i="10"/>
  <c r="E361" i="10" s="1"/>
  <c r="F361" i="10" s="1"/>
  <c r="S360" i="10"/>
  <c r="R360" i="10" s="1"/>
  <c r="P360" i="10" s="1"/>
  <c r="N360" i="10" s="1"/>
  <c r="L360" i="10" s="1"/>
  <c r="J360" i="10" s="1"/>
  <c r="H360" i="10" s="1"/>
  <c r="V360" i="10" s="1"/>
  <c r="D360" i="10"/>
  <c r="E360" i="10" s="1"/>
  <c r="F360" i="10" s="1"/>
  <c r="S358" i="10"/>
  <c r="R358" i="10" s="1"/>
  <c r="P358" i="10" s="1"/>
  <c r="N358" i="10" s="1"/>
  <c r="L358" i="10" s="1"/>
  <c r="J358" i="10" s="1"/>
  <c r="H358" i="10" s="1"/>
  <c r="V358" i="10" s="1"/>
  <c r="D358" i="10"/>
  <c r="E358" i="10" s="1"/>
  <c r="F358" i="10" s="1"/>
  <c r="S357" i="10"/>
  <c r="R357" i="10" s="1"/>
  <c r="P357" i="10" s="1"/>
  <c r="N357" i="10" s="1"/>
  <c r="L357" i="10" s="1"/>
  <c r="J357" i="10" s="1"/>
  <c r="H357" i="10" s="1"/>
  <c r="V357" i="10" s="1"/>
  <c r="D357" i="10"/>
  <c r="E357" i="10" s="1"/>
  <c r="F357" i="10" s="1"/>
  <c r="S356" i="10"/>
  <c r="R356" i="10" s="1"/>
  <c r="P356" i="10" s="1"/>
  <c r="N356" i="10" s="1"/>
  <c r="L356" i="10" s="1"/>
  <c r="J356" i="10" s="1"/>
  <c r="H356" i="10" s="1"/>
  <c r="V356" i="10" s="1"/>
  <c r="N354" i="10"/>
  <c r="J354" i="10"/>
  <c r="H354" i="10" s="1"/>
  <c r="V354" i="10" s="1"/>
  <c r="W354" i="10" s="1"/>
  <c r="S352" i="10"/>
  <c r="R352" i="10" s="1"/>
  <c r="P352" i="10" s="1"/>
  <c r="N352" i="10" s="1"/>
  <c r="L352" i="10" s="1"/>
  <c r="J352" i="10" s="1"/>
  <c r="H352" i="10" s="1"/>
  <c r="V352" i="10" s="1"/>
  <c r="S350" i="10"/>
  <c r="R350" i="10" s="1"/>
  <c r="P350" i="10" s="1"/>
  <c r="N350" i="10" s="1"/>
  <c r="L350" i="10" s="1"/>
  <c r="J350" i="10" s="1"/>
  <c r="H350" i="10" s="1"/>
  <c r="V350" i="10" s="1"/>
  <c r="S349" i="10"/>
  <c r="R349" i="10" s="1"/>
  <c r="P349" i="10" s="1"/>
  <c r="N349" i="10" s="1"/>
  <c r="L349" i="10" s="1"/>
  <c r="J349" i="10" s="1"/>
  <c r="H349" i="10" s="1"/>
  <c r="V349" i="10" s="1"/>
  <c r="S348" i="10"/>
  <c r="R348" i="10" s="1"/>
  <c r="P348" i="10" s="1"/>
  <c r="N348" i="10" s="1"/>
  <c r="L348" i="10" s="1"/>
  <c r="J348" i="10" s="1"/>
  <c r="H348" i="10" s="1"/>
  <c r="V348" i="10" s="1"/>
  <c r="S347" i="10"/>
  <c r="R347" i="10" s="1"/>
  <c r="P347" i="10" s="1"/>
  <c r="N347" i="10" s="1"/>
  <c r="L347" i="10" s="1"/>
  <c r="J347" i="10" s="1"/>
  <c r="H347" i="10" s="1"/>
  <c r="V347" i="10" s="1"/>
  <c r="D347" i="10"/>
  <c r="E347" i="10" s="1"/>
  <c r="F347" i="10" s="1"/>
  <c r="N346" i="10"/>
  <c r="L346" i="10" s="1"/>
  <c r="S345" i="10"/>
  <c r="R345" i="10" s="1"/>
  <c r="P345" i="10" s="1"/>
  <c r="N345" i="10" s="1"/>
  <c r="L345" i="10" s="1"/>
  <c r="J345" i="10" s="1"/>
  <c r="H345" i="10" s="1"/>
  <c r="V345" i="10" s="1"/>
  <c r="D345" i="10"/>
  <c r="E345" i="10" s="1"/>
  <c r="F345" i="10" s="1"/>
  <c r="S344" i="10"/>
  <c r="R344" i="10" s="1"/>
  <c r="P344" i="10" s="1"/>
  <c r="N344" i="10" s="1"/>
  <c r="L344" i="10" s="1"/>
  <c r="J344" i="10" s="1"/>
  <c r="H344" i="10" s="1"/>
  <c r="V344" i="10" s="1"/>
  <c r="D344" i="10"/>
  <c r="E344" i="10" s="1"/>
  <c r="F344" i="10" s="1"/>
  <c r="S343" i="10"/>
  <c r="R343" i="10" s="1"/>
  <c r="P343" i="10" s="1"/>
  <c r="N343" i="10" s="1"/>
  <c r="L343" i="10" s="1"/>
  <c r="J343" i="10" s="1"/>
  <c r="H343" i="10" s="1"/>
  <c r="V343" i="10" s="1"/>
  <c r="U343" i="10" s="1"/>
  <c r="S342" i="10"/>
  <c r="R342" i="10" s="1"/>
  <c r="P342" i="10" s="1"/>
  <c r="N342" i="10" s="1"/>
  <c r="L342" i="10" s="1"/>
  <c r="J342" i="10" s="1"/>
  <c r="H342" i="10" s="1"/>
  <c r="V342" i="10" s="1"/>
  <c r="E342" i="10"/>
  <c r="F342" i="10" s="1"/>
  <c r="S341" i="10"/>
  <c r="R341" i="10" s="1"/>
  <c r="P341" i="10" s="1"/>
  <c r="N341" i="10" s="1"/>
  <c r="L341" i="10" s="1"/>
  <c r="J341" i="10" s="1"/>
  <c r="H341" i="10" s="1"/>
  <c r="V341" i="10" s="1"/>
  <c r="D341" i="10"/>
  <c r="E341" i="10" s="1"/>
  <c r="F341" i="10" s="1"/>
  <c r="S340" i="10"/>
  <c r="R340" i="10" s="1"/>
  <c r="P340" i="10" s="1"/>
  <c r="N340" i="10" s="1"/>
  <c r="L340" i="10" s="1"/>
  <c r="J340" i="10" s="1"/>
  <c r="H340" i="10" s="1"/>
  <c r="V340" i="10" s="1"/>
  <c r="D340" i="10"/>
  <c r="E340" i="10" s="1"/>
  <c r="F340" i="10" s="1"/>
  <c r="S339" i="10"/>
  <c r="R339" i="10" s="1"/>
  <c r="P339" i="10" s="1"/>
  <c r="N339" i="10" s="1"/>
  <c r="L339" i="10" s="1"/>
  <c r="J339" i="10" s="1"/>
  <c r="H339" i="10" s="1"/>
  <c r="V339" i="10" s="1"/>
  <c r="D339" i="10"/>
  <c r="E339" i="10" s="1"/>
  <c r="F339" i="10" s="1"/>
  <c r="S338" i="10"/>
  <c r="R338" i="10" s="1"/>
  <c r="P338" i="10" s="1"/>
  <c r="N338" i="10" s="1"/>
  <c r="L338" i="10" s="1"/>
  <c r="J338" i="10" s="1"/>
  <c r="H338" i="10" s="1"/>
  <c r="V338" i="10" s="1"/>
  <c r="D338" i="10"/>
  <c r="E338" i="10" s="1"/>
  <c r="F338" i="10" s="1"/>
  <c r="S337" i="10"/>
  <c r="R337" i="10" s="1"/>
  <c r="P337" i="10" s="1"/>
  <c r="N337" i="10" s="1"/>
  <c r="L337" i="10" s="1"/>
  <c r="J337" i="10" s="1"/>
  <c r="H337" i="10" s="1"/>
  <c r="V337" i="10" s="1"/>
  <c r="D337" i="10"/>
  <c r="E337" i="10" s="1"/>
  <c r="F337" i="10" s="1"/>
  <c r="S336" i="10"/>
  <c r="R336" i="10" s="1"/>
  <c r="P336" i="10" s="1"/>
  <c r="N336" i="10" s="1"/>
  <c r="L336" i="10" s="1"/>
  <c r="J336" i="10" s="1"/>
  <c r="H336" i="10" s="1"/>
  <c r="V336" i="10" s="1"/>
  <c r="E336" i="10"/>
  <c r="F336" i="10" s="1"/>
  <c r="S335" i="10"/>
  <c r="R335" i="10" s="1"/>
  <c r="P335" i="10" s="1"/>
  <c r="N335" i="10" s="1"/>
  <c r="L335" i="10" s="1"/>
  <c r="J335" i="10" s="1"/>
  <c r="H335" i="10" s="1"/>
  <c r="V335" i="10" s="1"/>
  <c r="D335" i="10"/>
  <c r="E335" i="10" s="1"/>
  <c r="F335" i="10" s="1"/>
  <c r="H333" i="10"/>
  <c r="V333" i="10" s="1"/>
  <c r="W333" i="10" s="1"/>
  <c r="L332" i="10"/>
  <c r="J332" i="10" s="1"/>
  <c r="H332" i="10" s="1"/>
  <c r="V332" i="10" s="1"/>
  <c r="W332" i="10" s="1"/>
  <c r="F332" i="10"/>
  <c r="S331" i="10"/>
  <c r="R331" i="10" s="1"/>
  <c r="P331" i="10" s="1"/>
  <c r="N331" i="10" s="1"/>
  <c r="L331" i="10" s="1"/>
  <c r="J331" i="10" s="1"/>
  <c r="H331" i="10" s="1"/>
  <c r="V331" i="10" s="1"/>
  <c r="F331" i="10"/>
  <c r="S330" i="10"/>
  <c r="R330" i="10" s="1"/>
  <c r="P330" i="10" s="1"/>
  <c r="N330" i="10" s="1"/>
  <c r="L330" i="10" s="1"/>
  <c r="J330" i="10" s="1"/>
  <c r="H330" i="10" s="1"/>
  <c r="V330" i="10" s="1"/>
  <c r="U330" i="10" s="1"/>
  <c r="F330" i="10"/>
  <c r="S329" i="10"/>
  <c r="R329" i="10" s="1"/>
  <c r="P329" i="10" s="1"/>
  <c r="N329" i="10" s="1"/>
  <c r="L329" i="10" s="1"/>
  <c r="J329" i="10" s="1"/>
  <c r="H329" i="10" s="1"/>
  <c r="V329" i="10" s="1"/>
  <c r="F329" i="10"/>
  <c r="S328" i="10"/>
  <c r="R328" i="10" s="1"/>
  <c r="P328" i="10" s="1"/>
  <c r="N328" i="10" s="1"/>
  <c r="L328" i="10" s="1"/>
  <c r="J328" i="10" s="1"/>
  <c r="H328" i="10" s="1"/>
  <c r="V328" i="10" s="1"/>
  <c r="F328" i="10"/>
  <c r="S326" i="10"/>
  <c r="R326" i="10" s="1"/>
  <c r="P326" i="10" s="1"/>
  <c r="N326" i="10" s="1"/>
  <c r="L326" i="10" s="1"/>
  <c r="J326" i="10" s="1"/>
  <c r="H326" i="10" s="1"/>
  <c r="V326" i="10" s="1"/>
  <c r="F326" i="10"/>
  <c r="D326" i="10"/>
  <c r="S325" i="10"/>
  <c r="R325" i="10" s="1"/>
  <c r="P325" i="10" s="1"/>
  <c r="N325" i="10" s="1"/>
  <c r="L325" i="10" s="1"/>
  <c r="J325" i="10" s="1"/>
  <c r="H325" i="10" s="1"/>
  <c r="V325" i="10" s="1"/>
  <c r="F325" i="10"/>
  <c r="D325" i="10"/>
  <c r="S324" i="10"/>
  <c r="R324" i="10" s="1"/>
  <c r="P324" i="10" s="1"/>
  <c r="N324" i="10" s="1"/>
  <c r="L324" i="10" s="1"/>
  <c r="J324" i="10" s="1"/>
  <c r="H324" i="10" s="1"/>
  <c r="V324" i="10" s="1"/>
  <c r="F324" i="10"/>
  <c r="D324" i="10"/>
  <c r="L322" i="10"/>
  <c r="J322" i="10" s="1"/>
  <c r="H322" i="10" s="1"/>
  <c r="V322" i="10" s="1"/>
  <c r="W322" i="10" s="1"/>
  <c r="F322" i="10"/>
  <c r="S321" i="10"/>
  <c r="R321" i="10" s="1"/>
  <c r="P321" i="10" s="1"/>
  <c r="N321" i="10" s="1"/>
  <c r="L321" i="10" s="1"/>
  <c r="J321" i="10" s="1"/>
  <c r="H321" i="10" s="1"/>
  <c r="V321" i="10" s="1"/>
  <c r="F321" i="10"/>
  <c r="S320" i="10"/>
  <c r="R320" i="10" s="1"/>
  <c r="P320" i="10" s="1"/>
  <c r="N320" i="10" s="1"/>
  <c r="L320" i="10" s="1"/>
  <c r="J320" i="10" s="1"/>
  <c r="H320" i="10" s="1"/>
  <c r="V320" i="10" s="1"/>
  <c r="F320" i="10"/>
  <c r="S319" i="10"/>
  <c r="R319" i="10" s="1"/>
  <c r="P319" i="10" s="1"/>
  <c r="N319" i="10" s="1"/>
  <c r="L319" i="10" s="1"/>
  <c r="J319" i="10" s="1"/>
  <c r="H319" i="10" s="1"/>
  <c r="V319" i="10" s="1"/>
  <c r="F319" i="10"/>
  <c r="S318" i="10"/>
  <c r="R318" i="10" s="1"/>
  <c r="P318" i="10" s="1"/>
  <c r="N318" i="10" s="1"/>
  <c r="L318" i="10" s="1"/>
  <c r="J318" i="10" s="1"/>
  <c r="H318" i="10" s="1"/>
  <c r="V318" i="10" s="1"/>
  <c r="F318" i="10"/>
  <c r="S316" i="10"/>
  <c r="R316" i="10" s="1"/>
  <c r="P316" i="10" s="1"/>
  <c r="N316" i="10" s="1"/>
  <c r="L316" i="10" s="1"/>
  <c r="J316" i="10" s="1"/>
  <c r="H316" i="10" s="1"/>
  <c r="V316" i="10" s="1"/>
  <c r="F316" i="10"/>
  <c r="S315" i="10"/>
  <c r="R315" i="10" s="1"/>
  <c r="P315" i="10" s="1"/>
  <c r="N315" i="10" s="1"/>
  <c r="L315" i="10" s="1"/>
  <c r="J315" i="10" s="1"/>
  <c r="H315" i="10" s="1"/>
  <c r="V315" i="10" s="1"/>
  <c r="S314" i="10"/>
  <c r="R314" i="10" s="1"/>
  <c r="P314" i="10" s="1"/>
  <c r="N314" i="10" s="1"/>
  <c r="L314" i="10" s="1"/>
  <c r="J314" i="10" s="1"/>
  <c r="H314" i="10" s="1"/>
  <c r="V314" i="10" s="1"/>
  <c r="S313" i="10"/>
  <c r="R313" i="10" s="1"/>
  <c r="P313" i="10" s="1"/>
  <c r="N313" i="10" s="1"/>
  <c r="L313" i="10" s="1"/>
  <c r="J313" i="10" s="1"/>
  <c r="H313" i="10" s="1"/>
  <c r="V313" i="10" s="1"/>
  <c r="S312" i="10"/>
  <c r="R312" i="10" s="1"/>
  <c r="P312" i="10" s="1"/>
  <c r="N312" i="10" s="1"/>
  <c r="L312" i="10" s="1"/>
  <c r="J312" i="10" s="1"/>
  <c r="H312" i="10" s="1"/>
  <c r="V312" i="10" s="1"/>
  <c r="L311" i="10"/>
  <c r="S310" i="10"/>
  <c r="R310" i="10" s="1"/>
  <c r="P310" i="10" s="1"/>
  <c r="N310" i="10" s="1"/>
  <c r="L310" i="10" s="1"/>
  <c r="J310" i="10" s="1"/>
  <c r="H310" i="10" s="1"/>
  <c r="V310" i="10" s="1"/>
  <c r="F310" i="10"/>
  <c r="S309" i="10"/>
  <c r="R309" i="10" s="1"/>
  <c r="P309" i="10" s="1"/>
  <c r="N309" i="10" s="1"/>
  <c r="L309" i="10" s="1"/>
  <c r="J309" i="10" s="1"/>
  <c r="H309" i="10" s="1"/>
  <c r="V309" i="10" s="1"/>
  <c r="E309" i="10"/>
  <c r="F309" i="10" s="1"/>
  <c r="S308" i="10"/>
  <c r="R308" i="10" s="1"/>
  <c r="P308" i="10" s="1"/>
  <c r="N308" i="10" s="1"/>
  <c r="L308" i="10" s="1"/>
  <c r="J308" i="10" s="1"/>
  <c r="H308" i="10" s="1"/>
  <c r="V308" i="10" s="1"/>
  <c r="D308" i="10"/>
  <c r="E308" i="10" s="1"/>
  <c r="R304" i="10"/>
  <c r="P304" i="10" s="1"/>
  <c r="N304" i="10" s="1"/>
  <c r="L304" i="10" s="1"/>
  <c r="J304" i="10" s="1"/>
  <c r="H304" i="10" s="1"/>
  <c r="V304" i="10" s="1"/>
  <c r="W304" i="10" s="1"/>
  <c r="S303" i="10"/>
  <c r="R303" i="10" s="1"/>
  <c r="P303" i="10" s="1"/>
  <c r="N303" i="10" s="1"/>
  <c r="L303" i="10" s="1"/>
  <c r="J303" i="10" s="1"/>
  <c r="H303" i="10" s="1"/>
  <c r="V303" i="10" s="1"/>
  <c r="D303" i="10"/>
  <c r="E303" i="10" s="1"/>
  <c r="F303" i="10" s="1"/>
  <c r="S302" i="10"/>
  <c r="R302" i="10" s="1"/>
  <c r="P302" i="10" s="1"/>
  <c r="N302" i="10" s="1"/>
  <c r="L302" i="10" s="1"/>
  <c r="J302" i="10" s="1"/>
  <c r="H302" i="10" s="1"/>
  <c r="V302" i="10" s="1"/>
  <c r="D302" i="10"/>
  <c r="E302" i="10" s="1"/>
  <c r="F302" i="10" s="1"/>
  <c r="S301" i="10"/>
  <c r="R301" i="10" s="1"/>
  <c r="P301" i="10" s="1"/>
  <c r="N301" i="10" s="1"/>
  <c r="L301" i="10" s="1"/>
  <c r="J301" i="10" s="1"/>
  <c r="H301" i="10" s="1"/>
  <c r="V301" i="10" s="1"/>
  <c r="U301" i="10" s="1"/>
  <c r="D301" i="10"/>
  <c r="E301" i="10" s="1"/>
  <c r="F301" i="10" s="1"/>
  <c r="S299" i="10"/>
  <c r="R299" i="10" s="1"/>
  <c r="P299" i="10" s="1"/>
  <c r="N299" i="10" s="1"/>
  <c r="L299" i="10" s="1"/>
  <c r="J299" i="10" s="1"/>
  <c r="H299" i="10" s="1"/>
  <c r="V299" i="10" s="1"/>
  <c r="D299" i="10"/>
  <c r="E299" i="10" s="1"/>
  <c r="F299" i="10" s="1"/>
  <c r="S298" i="10"/>
  <c r="R298" i="10" s="1"/>
  <c r="P298" i="10" s="1"/>
  <c r="N298" i="10" s="1"/>
  <c r="L298" i="10" s="1"/>
  <c r="J298" i="10" s="1"/>
  <c r="H298" i="10" s="1"/>
  <c r="V298" i="10" s="1"/>
  <c r="D298" i="10"/>
  <c r="E298" i="10" s="1"/>
  <c r="F298" i="10" s="1"/>
  <c r="S296" i="10"/>
  <c r="R296" i="10" s="1"/>
  <c r="P296" i="10" s="1"/>
  <c r="N296" i="10" s="1"/>
  <c r="L296" i="10" s="1"/>
  <c r="J296" i="10" s="1"/>
  <c r="H296" i="10" s="1"/>
  <c r="V296" i="10" s="1"/>
  <c r="D296" i="10"/>
  <c r="E296" i="10" s="1"/>
  <c r="F296" i="10" s="1"/>
  <c r="S295" i="10"/>
  <c r="R295" i="10" s="1"/>
  <c r="P295" i="10" s="1"/>
  <c r="N295" i="10" s="1"/>
  <c r="L295" i="10" s="1"/>
  <c r="J295" i="10" s="1"/>
  <c r="H295" i="10" s="1"/>
  <c r="V295" i="10" s="1"/>
  <c r="D295" i="10"/>
  <c r="E295" i="10" s="1"/>
  <c r="F295" i="10" s="1"/>
  <c r="S293" i="10"/>
  <c r="R293" i="10" s="1"/>
  <c r="P293" i="10" s="1"/>
  <c r="N293" i="10" s="1"/>
  <c r="L293" i="10" s="1"/>
  <c r="J293" i="10" s="1"/>
  <c r="H293" i="10" s="1"/>
  <c r="V293" i="10" s="1"/>
  <c r="E293" i="10"/>
  <c r="F293" i="10" s="1"/>
  <c r="S292" i="10"/>
  <c r="R292" i="10" s="1"/>
  <c r="P292" i="10" s="1"/>
  <c r="N292" i="10" s="1"/>
  <c r="L292" i="10" s="1"/>
  <c r="J292" i="10" s="1"/>
  <c r="H292" i="10" s="1"/>
  <c r="V292" i="10" s="1"/>
  <c r="D292" i="10"/>
  <c r="E292" i="10" s="1"/>
  <c r="F292" i="10" s="1"/>
  <c r="S291" i="10"/>
  <c r="R291" i="10" s="1"/>
  <c r="P291" i="10" s="1"/>
  <c r="N291" i="10" s="1"/>
  <c r="L291" i="10" s="1"/>
  <c r="J291" i="10" s="1"/>
  <c r="H291" i="10" s="1"/>
  <c r="V291" i="10" s="1"/>
  <c r="D291" i="10"/>
  <c r="E291" i="10" s="1"/>
  <c r="F291" i="10" s="1"/>
  <c r="S290" i="10"/>
  <c r="R290" i="10" s="1"/>
  <c r="P290" i="10" s="1"/>
  <c r="N290" i="10" s="1"/>
  <c r="L290" i="10" s="1"/>
  <c r="J290" i="10" s="1"/>
  <c r="H290" i="10" s="1"/>
  <c r="V290" i="10" s="1"/>
  <c r="D290" i="10"/>
  <c r="E290" i="10" s="1"/>
  <c r="F290" i="10" s="1"/>
  <c r="S289" i="10"/>
  <c r="R289" i="10" s="1"/>
  <c r="P289" i="10" s="1"/>
  <c r="N289" i="10" s="1"/>
  <c r="L289" i="10" s="1"/>
  <c r="J289" i="10" s="1"/>
  <c r="H289" i="10" s="1"/>
  <c r="V289" i="10" s="1"/>
  <c r="D289" i="10"/>
  <c r="E289" i="10" s="1"/>
  <c r="F289" i="10" s="1"/>
  <c r="S287" i="10"/>
  <c r="R287" i="10" s="1"/>
  <c r="P287" i="10" s="1"/>
  <c r="N287" i="10" s="1"/>
  <c r="L287" i="10" s="1"/>
  <c r="J287" i="10" s="1"/>
  <c r="H287" i="10" s="1"/>
  <c r="V287" i="10" s="1"/>
  <c r="D287" i="10"/>
  <c r="E287" i="10" s="1"/>
  <c r="F287" i="10" s="1"/>
  <c r="S286" i="10"/>
  <c r="R286" i="10" s="1"/>
  <c r="P286" i="10" s="1"/>
  <c r="N286" i="10" s="1"/>
  <c r="L286" i="10" s="1"/>
  <c r="J286" i="10" s="1"/>
  <c r="H286" i="10" s="1"/>
  <c r="V286" i="10" s="1"/>
  <c r="D286" i="10"/>
  <c r="E286" i="10" s="1"/>
  <c r="F286" i="10" s="1"/>
  <c r="S285" i="10"/>
  <c r="R285" i="10" s="1"/>
  <c r="P285" i="10" s="1"/>
  <c r="N285" i="10" s="1"/>
  <c r="L285" i="10" s="1"/>
  <c r="J285" i="10" s="1"/>
  <c r="H285" i="10" s="1"/>
  <c r="V285" i="10" s="1"/>
  <c r="D285" i="10"/>
  <c r="E285" i="10" s="1"/>
  <c r="F285" i="10" s="1"/>
  <c r="S284" i="10"/>
  <c r="R284" i="10" s="1"/>
  <c r="P284" i="10" s="1"/>
  <c r="N284" i="10" s="1"/>
  <c r="L284" i="10" s="1"/>
  <c r="J284" i="10" s="1"/>
  <c r="H284" i="10" s="1"/>
  <c r="V284" i="10" s="1"/>
  <c r="D284" i="10"/>
  <c r="E284" i="10" s="1"/>
  <c r="F284" i="10" s="1"/>
  <c r="S283" i="10"/>
  <c r="R283" i="10" s="1"/>
  <c r="P283" i="10" s="1"/>
  <c r="N283" i="10" s="1"/>
  <c r="L283" i="10" s="1"/>
  <c r="J283" i="10" s="1"/>
  <c r="H283" i="10" s="1"/>
  <c r="V283" i="10" s="1"/>
  <c r="D283" i="10"/>
  <c r="E283" i="10" s="1"/>
  <c r="F283" i="10" s="1"/>
  <c r="S282" i="10"/>
  <c r="R282" i="10" s="1"/>
  <c r="P282" i="10" s="1"/>
  <c r="N282" i="10" s="1"/>
  <c r="L282" i="10" s="1"/>
  <c r="J282" i="10" s="1"/>
  <c r="H282" i="10" s="1"/>
  <c r="V282" i="10" s="1"/>
  <c r="D282" i="10"/>
  <c r="E282" i="10" s="1"/>
  <c r="F282" i="10" s="1"/>
  <c r="S280" i="10"/>
  <c r="R280" i="10" s="1"/>
  <c r="P280" i="10" s="1"/>
  <c r="N280" i="10" s="1"/>
  <c r="L280" i="10" s="1"/>
  <c r="J280" i="10" s="1"/>
  <c r="H280" i="10" s="1"/>
  <c r="V280" i="10" s="1"/>
  <c r="D280" i="10"/>
  <c r="E280" i="10" s="1"/>
  <c r="F280" i="10" s="1"/>
  <c r="S279" i="10"/>
  <c r="R279" i="10" s="1"/>
  <c r="P279" i="10" s="1"/>
  <c r="N279" i="10" s="1"/>
  <c r="L279" i="10" s="1"/>
  <c r="J279" i="10" s="1"/>
  <c r="H279" i="10" s="1"/>
  <c r="V279" i="10" s="1"/>
  <c r="D279" i="10"/>
  <c r="E279" i="10" s="1"/>
  <c r="F279" i="10" s="1"/>
  <c r="J273" i="10"/>
  <c r="H273" i="10" s="1"/>
  <c r="V273" i="10" s="1"/>
  <c r="W273" i="10" s="1"/>
  <c r="J272" i="10"/>
  <c r="H272" i="10" s="1"/>
  <c r="V272" i="10" s="1"/>
  <c r="W272" i="10" s="1"/>
  <c r="R270" i="10"/>
  <c r="R269" i="10"/>
  <c r="R268" i="10"/>
  <c r="R267" i="10"/>
  <c r="R266" i="10"/>
  <c r="R265" i="10"/>
  <c r="P265" i="10" s="1"/>
  <c r="N265" i="10" s="1"/>
  <c r="L265" i="10" s="1"/>
  <c r="J265" i="10" s="1"/>
  <c r="H265" i="10" s="1"/>
  <c r="V265" i="10" s="1"/>
  <c r="W265" i="10" s="1"/>
  <c r="R264" i="10"/>
  <c r="P264" i="10" s="1"/>
  <c r="N264" i="10" s="1"/>
  <c r="L264" i="10" s="1"/>
  <c r="J264" i="10" s="1"/>
  <c r="H264" i="10" s="1"/>
  <c r="V264" i="10" s="1"/>
  <c r="W264" i="10" s="1"/>
  <c r="R263" i="10"/>
  <c r="P263" i="10" s="1"/>
  <c r="N263" i="10" s="1"/>
  <c r="L263" i="10" s="1"/>
  <c r="J263" i="10" s="1"/>
  <c r="H263" i="10" s="1"/>
  <c r="V263" i="10" s="1"/>
  <c r="W263" i="10" s="1"/>
  <c r="S261" i="10"/>
  <c r="R261" i="10" s="1"/>
  <c r="P261" i="10" s="1"/>
  <c r="N261" i="10" s="1"/>
  <c r="L261" i="10" s="1"/>
  <c r="J261" i="10" s="1"/>
  <c r="H261" i="10" s="1"/>
  <c r="V261" i="10" s="1"/>
  <c r="F261" i="10"/>
  <c r="D261" i="10"/>
  <c r="S260" i="10"/>
  <c r="R260" i="10" s="1"/>
  <c r="P260" i="10" s="1"/>
  <c r="N260" i="10" s="1"/>
  <c r="L260" i="10" s="1"/>
  <c r="J260" i="10" s="1"/>
  <c r="H260" i="10" s="1"/>
  <c r="V260" i="10" s="1"/>
  <c r="E260" i="10"/>
  <c r="F260" i="10" s="1"/>
  <c r="S259" i="10"/>
  <c r="R259" i="10" s="1"/>
  <c r="P259" i="10" s="1"/>
  <c r="N259" i="10" s="1"/>
  <c r="L259" i="10" s="1"/>
  <c r="J259" i="10" s="1"/>
  <c r="H259" i="10" s="1"/>
  <c r="V259" i="10" s="1"/>
  <c r="E259" i="10"/>
  <c r="F259" i="10" s="1"/>
  <c r="S252" i="10"/>
  <c r="R252" i="10" s="1"/>
  <c r="P252" i="10" s="1"/>
  <c r="N252" i="10" s="1"/>
  <c r="L252" i="10" s="1"/>
  <c r="J252" i="10" s="1"/>
  <c r="H252" i="10" s="1"/>
  <c r="V252" i="10" s="1"/>
  <c r="E252" i="10"/>
  <c r="F252" i="10" s="1"/>
  <c r="S251" i="10"/>
  <c r="R251" i="10" s="1"/>
  <c r="P251" i="10" s="1"/>
  <c r="N251" i="10" s="1"/>
  <c r="L251" i="10" s="1"/>
  <c r="J251" i="10" s="1"/>
  <c r="H251" i="10" s="1"/>
  <c r="V251" i="10" s="1"/>
  <c r="U251" i="10" s="1"/>
  <c r="E251" i="10"/>
  <c r="F251" i="10" s="1"/>
  <c r="S250" i="10"/>
  <c r="R250" i="10" s="1"/>
  <c r="P250" i="10" s="1"/>
  <c r="N250" i="10" s="1"/>
  <c r="L250" i="10" s="1"/>
  <c r="J250" i="10" s="1"/>
  <c r="H250" i="10" s="1"/>
  <c r="V250" i="10" s="1"/>
  <c r="E250" i="10"/>
  <c r="F250" i="10" s="1"/>
  <c r="S248" i="10"/>
  <c r="R248" i="10" s="1"/>
  <c r="P248" i="10" s="1"/>
  <c r="N248" i="10" s="1"/>
  <c r="L248" i="10" s="1"/>
  <c r="J248" i="10" s="1"/>
  <c r="H248" i="10" s="1"/>
  <c r="V248" i="10" s="1"/>
  <c r="E248" i="10"/>
  <c r="F248" i="10" s="1"/>
  <c r="S247" i="10"/>
  <c r="R247" i="10" s="1"/>
  <c r="P247" i="10" s="1"/>
  <c r="N247" i="10" s="1"/>
  <c r="L247" i="10" s="1"/>
  <c r="J247" i="10" s="1"/>
  <c r="H247" i="10" s="1"/>
  <c r="V247" i="10" s="1"/>
  <c r="E247" i="10"/>
  <c r="F247" i="10" s="1"/>
  <c r="S246" i="10"/>
  <c r="R246" i="10" s="1"/>
  <c r="P246" i="10" s="1"/>
  <c r="N246" i="10" s="1"/>
  <c r="L246" i="10" s="1"/>
  <c r="J246" i="10" s="1"/>
  <c r="H246" i="10" s="1"/>
  <c r="V246" i="10" s="1"/>
  <c r="E246" i="10"/>
  <c r="F246" i="10" s="1"/>
  <c r="S245" i="10"/>
  <c r="R245" i="10" s="1"/>
  <c r="P245" i="10" s="1"/>
  <c r="N245" i="10" s="1"/>
  <c r="L245" i="10" s="1"/>
  <c r="J245" i="10" s="1"/>
  <c r="H245" i="10" s="1"/>
  <c r="V245" i="10" s="1"/>
  <c r="E245" i="10"/>
  <c r="F245" i="10" s="1"/>
  <c r="S243" i="10"/>
  <c r="R243" i="10" s="1"/>
  <c r="P243" i="10" s="1"/>
  <c r="N243" i="10" s="1"/>
  <c r="L243" i="10" s="1"/>
  <c r="J243" i="10" s="1"/>
  <c r="H243" i="10" s="1"/>
  <c r="V243" i="10" s="1"/>
  <c r="W243" i="10" s="1"/>
  <c r="S241" i="10"/>
  <c r="R241" i="10" s="1"/>
  <c r="P241" i="10" s="1"/>
  <c r="N241" i="10" s="1"/>
  <c r="L241" i="10" s="1"/>
  <c r="J241" i="10" s="1"/>
  <c r="H241" i="10" s="1"/>
  <c r="V241" i="10" s="1"/>
  <c r="S240" i="10"/>
  <c r="R240" i="10" s="1"/>
  <c r="P240" i="10" s="1"/>
  <c r="N240" i="10" s="1"/>
  <c r="J240" i="10"/>
  <c r="H240" i="10" s="1"/>
  <c r="V240" i="10" s="1"/>
  <c r="S236" i="10"/>
  <c r="R236" i="10" s="1"/>
  <c r="P236" i="10" s="1"/>
  <c r="N236" i="10" s="1"/>
  <c r="J236" i="10"/>
  <c r="H236" i="10" s="1"/>
  <c r="V236" i="10" s="1"/>
  <c r="S234" i="10"/>
  <c r="R234" i="10" s="1"/>
  <c r="P234" i="10" s="1"/>
  <c r="N234" i="10" s="1"/>
  <c r="J234" i="10"/>
  <c r="H234" i="10" s="1"/>
  <c r="V234" i="10" s="1"/>
  <c r="U234" i="10" s="1"/>
  <c r="J233" i="10"/>
  <c r="H233" i="10" s="1"/>
  <c r="V233" i="10" s="1"/>
  <c r="W233" i="10" s="1"/>
  <c r="S232" i="10"/>
  <c r="R232" i="10" s="1"/>
  <c r="P232" i="10" s="1"/>
  <c r="N232" i="10" s="1"/>
  <c r="L232" i="10" s="1"/>
  <c r="J232" i="10" s="1"/>
  <c r="H232" i="10" s="1"/>
  <c r="V232" i="10" s="1"/>
  <c r="S231" i="10"/>
  <c r="R231" i="10" s="1"/>
  <c r="P231" i="10" s="1"/>
  <c r="N231" i="10" s="1"/>
  <c r="L231" i="10" s="1"/>
  <c r="J231" i="10" s="1"/>
  <c r="H231" i="10" s="1"/>
  <c r="V231" i="10" s="1"/>
  <c r="S230" i="10"/>
  <c r="R230" i="10" s="1"/>
  <c r="P230" i="10" s="1"/>
  <c r="N230" i="10" s="1"/>
  <c r="L230" i="10" s="1"/>
  <c r="J230" i="10" s="1"/>
  <c r="H230" i="10" s="1"/>
  <c r="V230" i="10" s="1"/>
  <c r="S229" i="10"/>
  <c r="R229" i="10" s="1"/>
  <c r="P229" i="10" s="1"/>
  <c r="N229" i="10" s="1"/>
  <c r="L229" i="10" s="1"/>
  <c r="J229" i="10" s="1"/>
  <c r="H229" i="10" s="1"/>
  <c r="V229" i="10" s="1"/>
  <c r="W229" i="10" s="1"/>
  <c r="S227" i="10"/>
  <c r="R227" i="10" s="1"/>
  <c r="P227" i="10" s="1"/>
  <c r="N227" i="10" s="1"/>
  <c r="L227" i="10" s="1"/>
  <c r="J227" i="10" s="1"/>
  <c r="H227" i="10" s="1"/>
  <c r="V227" i="10" s="1"/>
  <c r="E227" i="10"/>
  <c r="F227" i="10" s="1"/>
  <c r="S225" i="10"/>
  <c r="R225" i="10" s="1"/>
  <c r="P225" i="10" s="1"/>
  <c r="N225" i="10" s="1"/>
  <c r="L225" i="10" s="1"/>
  <c r="J225" i="10" s="1"/>
  <c r="H225" i="10" s="1"/>
  <c r="V225" i="10" s="1"/>
  <c r="S224" i="10"/>
  <c r="R224" i="10" s="1"/>
  <c r="P224" i="10" s="1"/>
  <c r="N224" i="10" s="1"/>
  <c r="L224" i="10" s="1"/>
  <c r="J224" i="10" s="1"/>
  <c r="H224" i="10" s="1"/>
  <c r="V224" i="10" s="1"/>
  <c r="S223" i="10"/>
  <c r="R223" i="10" s="1"/>
  <c r="P223" i="10" s="1"/>
  <c r="N223" i="10" s="1"/>
  <c r="L223" i="10" s="1"/>
  <c r="J223" i="10" s="1"/>
  <c r="H223" i="10" s="1"/>
  <c r="V223" i="10" s="1"/>
  <c r="W223" i="10" s="1"/>
  <c r="E223" i="10"/>
  <c r="F223" i="10" s="1"/>
  <c r="S221" i="10"/>
  <c r="R221" i="10" s="1"/>
  <c r="P221" i="10" s="1"/>
  <c r="N221" i="10" s="1"/>
  <c r="L221" i="10" s="1"/>
  <c r="J221" i="10" s="1"/>
  <c r="H221" i="10" s="1"/>
  <c r="V221" i="10" s="1"/>
  <c r="E221" i="10"/>
  <c r="F221" i="10" s="1"/>
  <c r="S220" i="10"/>
  <c r="R220" i="10" s="1"/>
  <c r="P220" i="10" s="1"/>
  <c r="N220" i="10" s="1"/>
  <c r="L220" i="10" s="1"/>
  <c r="J220" i="10" s="1"/>
  <c r="H220" i="10" s="1"/>
  <c r="V220" i="10" s="1"/>
  <c r="S218" i="10"/>
  <c r="R218" i="10" s="1"/>
  <c r="P218" i="10" s="1"/>
  <c r="N218" i="10" s="1"/>
  <c r="L218" i="10" s="1"/>
  <c r="J218" i="10" s="1"/>
  <c r="H218" i="10" s="1"/>
  <c r="V218" i="10" s="1"/>
  <c r="E218" i="10"/>
  <c r="F218" i="10" s="1"/>
  <c r="S217" i="10"/>
  <c r="R217" i="10" s="1"/>
  <c r="P217" i="10" s="1"/>
  <c r="N217" i="10" s="1"/>
  <c r="L217" i="10" s="1"/>
  <c r="J217" i="10" s="1"/>
  <c r="H217" i="10" s="1"/>
  <c r="V217" i="10" s="1"/>
  <c r="S215" i="10"/>
  <c r="R215" i="10" s="1"/>
  <c r="P215" i="10" s="1"/>
  <c r="N215" i="10" s="1"/>
  <c r="L215" i="10" s="1"/>
  <c r="J215" i="10" s="1"/>
  <c r="H215" i="10" s="1"/>
  <c r="V215" i="10" s="1"/>
  <c r="S214" i="10"/>
  <c r="R214" i="10" s="1"/>
  <c r="P214" i="10" s="1"/>
  <c r="N214" i="10" s="1"/>
  <c r="L214" i="10" s="1"/>
  <c r="J214" i="10" s="1"/>
  <c r="H214" i="10" s="1"/>
  <c r="V214" i="10" s="1"/>
  <c r="E214" i="10"/>
  <c r="F214" i="10" s="1"/>
  <c r="S213" i="10"/>
  <c r="R213" i="10" s="1"/>
  <c r="P213" i="10" s="1"/>
  <c r="N213" i="10" s="1"/>
  <c r="L213" i="10" s="1"/>
  <c r="J213" i="10" s="1"/>
  <c r="H213" i="10" s="1"/>
  <c r="V213" i="10" s="1"/>
  <c r="E213" i="10"/>
  <c r="F213" i="10" s="1"/>
  <c r="S206" i="10"/>
  <c r="R206" i="10" s="1"/>
  <c r="P206" i="10" s="1"/>
  <c r="N206" i="10" s="1"/>
  <c r="L206" i="10" s="1"/>
  <c r="J206" i="10" s="1"/>
  <c r="H206" i="10" s="1"/>
  <c r="V206" i="10" s="1"/>
  <c r="E206" i="10"/>
  <c r="F206" i="10" s="1"/>
  <c r="S205" i="10"/>
  <c r="R205" i="10" s="1"/>
  <c r="P205" i="10" s="1"/>
  <c r="N205" i="10" s="1"/>
  <c r="L205" i="10" s="1"/>
  <c r="J205" i="10" s="1"/>
  <c r="H205" i="10" s="1"/>
  <c r="V205" i="10" s="1"/>
  <c r="S203" i="10"/>
  <c r="R203" i="10" s="1"/>
  <c r="P203" i="10" s="1"/>
  <c r="N203" i="10" s="1"/>
  <c r="L203" i="10" s="1"/>
  <c r="J203" i="10" s="1"/>
  <c r="H203" i="10" s="1"/>
  <c r="V203" i="10" s="1"/>
  <c r="E203" i="10"/>
  <c r="F203" i="10" s="1"/>
  <c r="V202" i="10"/>
  <c r="W202" i="10" s="1"/>
  <c r="S201" i="10"/>
  <c r="R201" i="10" s="1"/>
  <c r="P201" i="10" s="1"/>
  <c r="N201" i="10" s="1"/>
  <c r="L201" i="10" s="1"/>
  <c r="J201" i="10" s="1"/>
  <c r="H201" i="10" s="1"/>
  <c r="V201" i="10" s="1"/>
  <c r="E201" i="10"/>
  <c r="F201" i="10" s="1"/>
  <c r="S200" i="10"/>
  <c r="R200" i="10" s="1"/>
  <c r="P200" i="10" s="1"/>
  <c r="N200" i="10" s="1"/>
  <c r="L200" i="10" s="1"/>
  <c r="J200" i="10" s="1"/>
  <c r="H200" i="10" s="1"/>
  <c r="V200" i="10" s="1"/>
  <c r="E200" i="10"/>
  <c r="F200" i="10" s="1"/>
  <c r="S199" i="10"/>
  <c r="R199" i="10" s="1"/>
  <c r="P199" i="10" s="1"/>
  <c r="N199" i="10" s="1"/>
  <c r="L199" i="10" s="1"/>
  <c r="J199" i="10" s="1"/>
  <c r="H199" i="10" s="1"/>
  <c r="V199" i="10" s="1"/>
  <c r="E199" i="10"/>
  <c r="F199" i="10" s="1"/>
  <c r="S198" i="10"/>
  <c r="R198" i="10" s="1"/>
  <c r="P198" i="10" s="1"/>
  <c r="N198" i="10" s="1"/>
  <c r="L198" i="10" s="1"/>
  <c r="J198" i="10" s="1"/>
  <c r="H198" i="10" s="1"/>
  <c r="V198" i="10" s="1"/>
  <c r="E198" i="10"/>
  <c r="F198" i="10" s="1"/>
  <c r="S197" i="10"/>
  <c r="R197" i="10" s="1"/>
  <c r="P197" i="10" s="1"/>
  <c r="N197" i="10" s="1"/>
  <c r="L197" i="10" s="1"/>
  <c r="J197" i="10" s="1"/>
  <c r="H197" i="10" s="1"/>
  <c r="V197" i="10" s="1"/>
  <c r="S195" i="10"/>
  <c r="R195" i="10" s="1"/>
  <c r="P195" i="10" s="1"/>
  <c r="N195" i="10" s="1"/>
  <c r="L195" i="10" s="1"/>
  <c r="J195" i="10" s="1"/>
  <c r="H195" i="10" s="1"/>
  <c r="V195" i="10" s="1"/>
  <c r="W195" i="10" s="1"/>
  <c r="E195" i="10"/>
  <c r="F195" i="10" s="1"/>
  <c r="S194" i="10"/>
  <c r="R194" i="10" s="1"/>
  <c r="P194" i="10" s="1"/>
  <c r="N194" i="10" s="1"/>
  <c r="L194" i="10" s="1"/>
  <c r="J194" i="10" s="1"/>
  <c r="H194" i="10" s="1"/>
  <c r="V194" i="10" s="1"/>
  <c r="E194" i="10"/>
  <c r="F194" i="10" s="1"/>
  <c r="S193" i="10"/>
  <c r="R193" i="10" s="1"/>
  <c r="P193" i="10" s="1"/>
  <c r="N193" i="10" s="1"/>
  <c r="L193" i="10" s="1"/>
  <c r="J193" i="10" s="1"/>
  <c r="H193" i="10" s="1"/>
  <c r="V193" i="10" s="1"/>
  <c r="S191" i="10"/>
  <c r="R191" i="10" s="1"/>
  <c r="P191" i="10" s="1"/>
  <c r="N191" i="10" s="1"/>
  <c r="L191" i="10" s="1"/>
  <c r="J191" i="10" s="1"/>
  <c r="H191" i="10" s="1"/>
  <c r="V191" i="10" s="1"/>
  <c r="E191" i="10"/>
  <c r="F191" i="10" s="1"/>
  <c r="S190" i="10"/>
  <c r="R190" i="10" s="1"/>
  <c r="P190" i="10" s="1"/>
  <c r="N190" i="10" s="1"/>
  <c r="L190" i="10" s="1"/>
  <c r="J190" i="10" s="1"/>
  <c r="H190" i="10" s="1"/>
  <c r="V190" i="10" s="1"/>
  <c r="S185" i="10"/>
  <c r="R185" i="10" s="1"/>
  <c r="P185" i="10" s="1"/>
  <c r="N185" i="10" s="1"/>
  <c r="L185" i="10" s="1"/>
  <c r="J185" i="10" s="1"/>
  <c r="H185" i="10" s="1"/>
  <c r="V185" i="10" s="1"/>
  <c r="E185" i="10"/>
  <c r="F185" i="10" s="1"/>
  <c r="S184" i="10"/>
  <c r="R184" i="10" s="1"/>
  <c r="P184" i="10" s="1"/>
  <c r="N184" i="10" s="1"/>
  <c r="L184" i="10" s="1"/>
  <c r="J184" i="10" s="1"/>
  <c r="H184" i="10" s="1"/>
  <c r="V184" i="10" s="1"/>
  <c r="S182" i="10"/>
  <c r="R182" i="10" s="1"/>
  <c r="P182" i="10" s="1"/>
  <c r="N182" i="10" s="1"/>
  <c r="L182" i="10" s="1"/>
  <c r="J182" i="10" s="1"/>
  <c r="H182" i="10" s="1"/>
  <c r="V182" i="10" s="1"/>
  <c r="E182" i="10"/>
  <c r="F182" i="10" s="1"/>
  <c r="S181" i="10"/>
  <c r="R181" i="10" s="1"/>
  <c r="P181" i="10" s="1"/>
  <c r="N181" i="10" s="1"/>
  <c r="L181" i="10" s="1"/>
  <c r="J181" i="10" s="1"/>
  <c r="H181" i="10" s="1"/>
  <c r="V181" i="10" s="1"/>
  <c r="E181" i="10"/>
  <c r="F181" i="10" s="1"/>
  <c r="S180" i="10"/>
  <c r="R180" i="10" s="1"/>
  <c r="P180" i="10" s="1"/>
  <c r="N180" i="10" s="1"/>
  <c r="L180" i="10" s="1"/>
  <c r="J180" i="10" s="1"/>
  <c r="H180" i="10" s="1"/>
  <c r="V180" i="10" s="1"/>
  <c r="E180" i="10"/>
  <c r="F180" i="10" s="1"/>
  <c r="S179" i="10"/>
  <c r="R179" i="10" s="1"/>
  <c r="P179" i="10" s="1"/>
  <c r="N179" i="10" s="1"/>
  <c r="L179" i="10" s="1"/>
  <c r="J179" i="10" s="1"/>
  <c r="H179" i="10" s="1"/>
  <c r="V179" i="10" s="1"/>
  <c r="S177" i="10"/>
  <c r="R177" i="10" s="1"/>
  <c r="P177" i="10" s="1"/>
  <c r="N177" i="10" s="1"/>
  <c r="L177" i="10" s="1"/>
  <c r="J177" i="10" s="1"/>
  <c r="H177" i="10" s="1"/>
  <c r="V177" i="10" s="1"/>
  <c r="E177" i="10"/>
  <c r="F177" i="10" s="1"/>
  <c r="R176" i="10"/>
  <c r="P176" i="10" s="1"/>
  <c r="N176" i="10" s="1"/>
  <c r="L176" i="10" s="1"/>
  <c r="J176" i="10" s="1"/>
  <c r="H176" i="10" s="1"/>
  <c r="V176" i="10" s="1"/>
  <c r="W176" i="10" s="1"/>
  <c r="S175" i="10"/>
  <c r="R175" i="10" s="1"/>
  <c r="P175" i="10" s="1"/>
  <c r="N175" i="10" s="1"/>
  <c r="L175" i="10" s="1"/>
  <c r="J175" i="10" s="1"/>
  <c r="H175" i="10" s="1"/>
  <c r="V175" i="10" s="1"/>
  <c r="E175" i="10"/>
  <c r="F175" i="10" s="1"/>
  <c r="S174" i="10"/>
  <c r="R174" i="10" s="1"/>
  <c r="P174" i="10" s="1"/>
  <c r="N174" i="10" s="1"/>
  <c r="L174" i="10" s="1"/>
  <c r="J174" i="10" s="1"/>
  <c r="H174" i="10" s="1"/>
  <c r="V174" i="10" s="1"/>
  <c r="S172" i="10"/>
  <c r="R172" i="10" s="1"/>
  <c r="P172" i="10" s="1"/>
  <c r="N172" i="10" s="1"/>
  <c r="L172" i="10" s="1"/>
  <c r="J172" i="10" s="1"/>
  <c r="H172" i="10" s="1"/>
  <c r="V172" i="10" s="1"/>
  <c r="E172" i="10"/>
  <c r="F172" i="10" s="1"/>
  <c r="S171" i="10"/>
  <c r="R171" i="10" s="1"/>
  <c r="P171" i="10" s="1"/>
  <c r="N171" i="10" s="1"/>
  <c r="L171" i="10" s="1"/>
  <c r="J171" i="10" s="1"/>
  <c r="H171" i="10" s="1"/>
  <c r="V171" i="10" s="1"/>
  <c r="E171" i="10"/>
  <c r="F171" i="10" s="1"/>
  <c r="S170" i="10"/>
  <c r="R170" i="10" s="1"/>
  <c r="P170" i="10" s="1"/>
  <c r="N170" i="10" s="1"/>
  <c r="L170" i="10" s="1"/>
  <c r="J170" i="10" s="1"/>
  <c r="H170" i="10" s="1"/>
  <c r="V170" i="10" s="1"/>
  <c r="S168" i="10"/>
  <c r="R168" i="10" s="1"/>
  <c r="P168" i="10" s="1"/>
  <c r="N168" i="10" s="1"/>
  <c r="L168" i="10" s="1"/>
  <c r="J168" i="10" s="1"/>
  <c r="H168" i="10" s="1"/>
  <c r="V168" i="10" s="1"/>
  <c r="E168" i="10"/>
  <c r="F168" i="10" s="1"/>
  <c r="S167" i="10"/>
  <c r="R167" i="10" s="1"/>
  <c r="P167" i="10" s="1"/>
  <c r="N167" i="10" s="1"/>
  <c r="L167" i="10" s="1"/>
  <c r="J167" i="10" s="1"/>
  <c r="H167" i="10" s="1"/>
  <c r="V167" i="10" s="1"/>
  <c r="E167" i="10"/>
  <c r="F167" i="10" s="1"/>
  <c r="S165" i="10"/>
  <c r="R165" i="10" s="1"/>
  <c r="P165" i="10" s="1"/>
  <c r="N165" i="10" s="1"/>
  <c r="L165" i="10" s="1"/>
  <c r="J165" i="10" s="1"/>
  <c r="H165" i="10" s="1"/>
  <c r="V165" i="10" s="1"/>
  <c r="E165" i="10"/>
  <c r="F165" i="10" s="1"/>
  <c r="S164" i="10"/>
  <c r="R164" i="10" s="1"/>
  <c r="P164" i="10" s="1"/>
  <c r="N164" i="10" s="1"/>
  <c r="L164" i="10" s="1"/>
  <c r="J164" i="10" s="1"/>
  <c r="H164" i="10" s="1"/>
  <c r="V164" i="10" s="1"/>
  <c r="E164" i="10"/>
  <c r="F164" i="10" s="1"/>
  <c r="S163" i="10"/>
  <c r="R163" i="10" s="1"/>
  <c r="P163" i="10" s="1"/>
  <c r="N163" i="10" s="1"/>
  <c r="L163" i="10" s="1"/>
  <c r="J163" i="10" s="1"/>
  <c r="H163" i="10" s="1"/>
  <c r="V163" i="10" s="1"/>
  <c r="E163" i="10"/>
  <c r="F163" i="10" s="1"/>
  <c r="S161" i="10"/>
  <c r="R161" i="10" s="1"/>
  <c r="P161" i="10" s="1"/>
  <c r="N161" i="10" s="1"/>
  <c r="L161" i="10" s="1"/>
  <c r="J161" i="10" s="1"/>
  <c r="H161" i="10" s="1"/>
  <c r="V161" i="10" s="1"/>
  <c r="E161" i="10"/>
  <c r="F161" i="10" s="1"/>
  <c r="S160" i="10"/>
  <c r="R160" i="10" s="1"/>
  <c r="P160" i="10" s="1"/>
  <c r="N160" i="10" s="1"/>
  <c r="L160" i="10" s="1"/>
  <c r="J160" i="10" s="1"/>
  <c r="H160" i="10" s="1"/>
  <c r="V160" i="10" s="1"/>
  <c r="S155" i="10"/>
  <c r="R155" i="10" s="1"/>
  <c r="P155" i="10" s="1"/>
  <c r="N155" i="10" s="1"/>
  <c r="L155" i="10" s="1"/>
  <c r="J155" i="10" s="1"/>
  <c r="H155" i="10" s="1"/>
  <c r="V155" i="10" s="1"/>
  <c r="E155" i="10"/>
  <c r="F155" i="10" s="1"/>
  <c r="S154" i="10"/>
  <c r="R154" i="10" s="1"/>
  <c r="P154" i="10" s="1"/>
  <c r="N154" i="10" s="1"/>
  <c r="L154" i="10" s="1"/>
  <c r="J154" i="10" s="1"/>
  <c r="H154" i="10" s="1"/>
  <c r="V154" i="10" s="1"/>
  <c r="S152" i="10"/>
  <c r="R152" i="10" s="1"/>
  <c r="P152" i="10" s="1"/>
  <c r="N152" i="10" s="1"/>
  <c r="L152" i="10" s="1"/>
  <c r="J152" i="10" s="1"/>
  <c r="H152" i="10" s="1"/>
  <c r="V152" i="10" s="1"/>
  <c r="S151" i="10"/>
  <c r="R151" i="10" s="1"/>
  <c r="P151" i="10" s="1"/>
  <c r="N151" i="10" s="1"/>
  <c r="L151" i="10" s="1"/>
  <c r="J151" i="10" s="1"/>
  <c r="H151" i="10" s="1"/>
  <c r="V151" i="10" s="1"/>
  <c r="S150" i="10"/>
  <c r="R150" i="10" s="1"/>
  <c r="P150" i="10" s="1"/>
  <c r="N150" i="10" s="1"/>
  <c r="L150" i="10" s="1"/>
  <c r="J150" i="10" s="1"/>
  <c r="H150" i="10" s="1"/>
  <c r="V150" i="10" s="1"/>
  <c r="S148" i="10"/>
  <c r="R148" i="10" s="1"/>
  <c r="P148" i="10" s="1"/>
  <c r="N148" i="10" s="1"/>
  <c r="L148" i="10" s="1"/>
  <c r="J148" i="10" s="1"/>
  <c r="H148" i="10" s="1"/>
  <c r="V148" i="10" s="1"/>
  <c r="S147" i="10"/>
  <c r="R147" i="10" s="1"/>
  <c r="P147" i="10" s="1"/>
  <c r="N147" i="10" s="1"/>
  <c r="L147" i="10" s="1"/>
  <c r="J147" i="10" s="1"/>
  <c r="H147" i="10" s="1"/>
  <c r="V147" i="10" s="1"/>
  <c r="S145" i="10"/>
  <c r="R145" i="10" s="1"/>
  <c r="P145" i="10" s="1"/>
  <c r="N145" i="10" s="1"/>
  <c r="L145" i="10" s="1"/>
  <c r="J145" i="10" s="1"/>
  <c r="H145" i="10" s="1"/>
  <c r="V145" i="10" s="1"/>
  <c r="E145" i="10"/>
  <c r="F145" i="10" s="1"/>
  <c r="S144" i="10"/>
  <c r="R144" i="10" s="1"/>
  <c r="P144" i="10" s="1"/>
  <c r="N144" i="10" s="1"/>
  <c r="L144" i="10" s="1"/>
  <c r="J144" i="10" s="1"/>
  <c r="H144" i="10" s="1"/>
  <c r="V144" i="10" s="1"/>
  <c r="E144" i="10"/>
  <c r="F144" i="10" s="1"/>
  <c r="S142" i="10"/>
  <c r="R142" i="10" s="1"/>
  <c r="P142" i="10" s="1"/>
  <c r="N142" i="10" s="1"/>
  <c r="L142" i="10" s="1"/>
  <c r="J142" i="10" s="1"/>
  <c r="H142" i="10" s="1"/>
  <c r="V142" i="10" s="1"/>
  <c r="E142" i="10"/>
  <c r="F142" i="10" s="1"/>
  <c r="S141" i="10"/>
  <c r="R141" i="10" s="1"/>
  <c r="P141" i="10" s="1"/>
  <c r="N141" i="10" s="1"/>
  <c r="L141" i="10" s="1"/>
  <c r="J141" i="10" s="1"/>
  <c r="H141" i="10" s="1"/>
  <c r="V141" i="10" s="1"/>
  <c r="S140" i="10"/>
  <c r="R140" i="10" s="1"/>
  <c r="P140" i="10" s="1"/>
  <c r="N140" i="10" s="1"/>
  <c r="L140" i="10" s="1"/>
  <c r="J140" i="10" s="1"/>
  <c r="H140" i="10" s="1"/>
  <c r="V140" i="10" s="1"/>
  <c r="S139" i="10"/>
  <c r="R139" i="10" s="1"/>
  <c r="P139" i="10" s="1"/>
  <c r="N139" i="10" s="1"/>
  <c r="L139" i="10" s="1"/>
  <c r="J139" i="10" s="1"/>
  <c r="H139" i="10" s="1"/>
  <c r="V139" i="10" s="1"/>
  <c r="S137" i="10"/>
  <c r="R137" i="10" s="1"/>
  <c r="P137" i="10" s="1"/>
  <c r="N137" i="10" s="1"/>
  <c r="L137" i="10" s="1"/>
  <c r="J137" i="10" s="1"/>
  <c r="H137" i="10" s="1"/>
  <c r="V137" i="10" s="1"/>
  <c r="E137" i="10"/>
  <c r="F137" i="10" s="1"/>
  <c r="S136" i="10"/>
  <c r="R136" i="10" s="1"/>
  <c r="P136" i="10" s="1"/>
  <c r="N136" i="10" s="1"/>
  <c r="L136" i="10" s="1"/>
  <c r="J136" i="10" s="1"/>
  <c r="H136" i="10" s="1"/>
  <c r="V136" i="10" s="1"/>
  <c r="E136" i="10"/>
  <c r="F136" i="10" s="1"/>
  <c r="S135" i="10"/>
  <c r="R135" i="10" s="1"/>
  <c r="P135" i="10" s="1"/>
  <c r="N135" i="10" s="1"/>
  <c r="L135" i="10" s="1"/>
  <c r="J135" i="10" s="1"/>
  <c r="H135" i="10" s="1"/>
  <c r="V135" i="10" s="1"/>
  <c r="E135" i="10"/>
  <c r="F135" i="10" s="1"/>
  <c r="S134" i="10"/>
  <c r="R134" i="10" s="1"/>
  <c r="P134" i="10" s="1"/>
  <c r="N134" i="10" s="1"/>
  <c r="L134" i="10" s="1"/>
  <c r="J134" i="10" s="1"/>
  <c r="H134" i="10" s="1"/>
  <c r="V134" i="10" s="1"/>
  <c r="E134" i="10"/>
  <c r="F134" i="10" s="1"/>
  <c r="R133" i="10"/>
  <c r="N133" i="10"/>
  <c r="L133" i="10" s="1"/>
  <c r="J133" i="10" s="1"/>
  <c r="H133" i="10" s="1"/>
  <c r="V133" i="10" s="1"/>
  <c r="W133" i="10" s="1"/>
  <c r="S132" i="10"/>
  <c r="R132" i="10" s="1"/>
  <c r="P132" i="10" s="1"/>
  <c r="N132" i="10" s="1"/>
  <c r="L132" i="10" s="1"/>
  <c r="J132" i="10" s="1"/>
  <c r="H132" i="10" s="1"/>
  <c r="V132" i="10" s="1"/>
  <c r="E132" i="10"/>
  <c r="F132" i="10" s="1"/>
  <c r="S130" i="10"/>
  <c r="R130" i="10" s="1"/>
  <c r="P130" i="10" s="1"/>
  <c r="N130" i="10" s="1"/>
  <c r="L130" i="10" s="1"/>
  <c r="J130" i="10" s="1"/>
  <c r="H130" i="10" s="1"/>
  <c r="V130" i="10" s="1"/>
  <c r="E130" i="10"/>
  <c r="F130" i="10" s="1"/>
  <c r="S129" i="10"/>
  <c r="R129" i="10" s="1"/>
  <c r="P129" i="10" s="1"/>
  <c r="N129" i="10" s="1"/>
  <c r="L129" i="10" s="1"/>
  <c r="J129" i="10" s="1"/>
  <c r="H129" i="10" s="1"/>
  <c r="V129" i="10" s="1"/>
  <c r="E129" i="10"/>
  <c r="F129" i="10" s="1"/>
  <c r="S128" i="10"/>
  <c r="R128" i="10" s="1"/>
  <c r="P128" i="10" s="1"/>
  <c r="N128" i="10" s="1"/>
  <c r="L128" i="10" s="1"/>
  <c r="J128" i="10" s="1"/>
  <c r="H128" i="10" s="1"/>
  <c r="V128" i="10" s="1"/>
  <c r="S126" i="10"/>
  <c r="R126" i="10" s="1"/>
  <c r="P126" i="10" s="1"/>
  <c r="N126" i="10" s="1"/>
  <c r="L126" i="10" s="1"/>
  <c r="J126" i="10" s="1"/>
  <c r="H126" i="10" s="1"/>
  <c r="V126" i="10" s="1"/>
  <c r="E126" i="10"/>
  <c r="F126" i="10" s="1"/>
  <c r="S125" i="10"/>
  <c r="R125" i="10" s="1"/>
  <c r="P125" i="10" s="1"/>
  <c r="N125" i="10" s="1"/>
  <c r="L125" i="10" s="1"/>
  <c r="J125" i="10" s="1"/>
  <c r="H125" i="10" s="1"/>
  <c r="V125" i="10" s="1"/>
  <c r="E125" i="10"/>
  <c r="F125" i="10" s="1"/>
  <c r="S124" i="10"/>
  <c r="R124" i="10" s="1"/>
  <c r="P124" i="10" s="1"/>
  <c r="N124" i="10" s="1"/>
  <c r="L124" i="10" s="1"/>
  <c r="J124" i="10" s="1"/>
  <c r="H124" i="10" s="1"/>
  <c r="V124" i="10" s="1"/>
  <c r="S122" i="10"/>
  <c r="R122" i="10" s="1"/>
  <c r="P122" i="10" s="1"/>
  <c r="N122" i="10" s="1"/>
  <c r="L122" i="10" s="1"/>
  <c r="J122" i="10" s="1"/>
  <c r="H122" i="10" s="1"/>
  <c r="V122" i="10" s="1"/>
  <c r="E122" i="10"/>
  <c r="F122" i="10" s="1"/>
  <c r="S120" i="10"/>
  <c r="R120" i="10" s="1"/>
  <c r="P120" i="10" s="1"/>
  <c r="N120" i="10" s="1"/>
  <c r="L120" i="10" s="1"/>
  <c r="J120" i="10" s="1"/>
  <c r="H120" i="10" s="1"/>
  <c r="V120" i="10" s="1"/>
  <c r="E120" i="10"/>
  <c r="F120" i="10" s="1"/>
  <c r="S117" i="10"/>
  <c r="R117" i="10" s="1"/>
  <c r="P117" i="10" s="1"/>
  <c r="N117" i="10" s="1"/>
  <c r="L117" i="10" s="1"/>
  <c r="J117" i="10" s="1"/>
  <c r="H117" i="10" s="1"/>
  <c r="V117" i="10" s="1"/>
  <c r="E117" i="10"/>
  <c r="F117" i="10" s="1"/>
  <c r="S116" i="10"/>
  <c r="R116" i="10" s="1"/>
  <c r="P116" i="10" s="1"/>
  <c r="N116" i="10" s="1"/>
  <c r="L116" i="10" s="1"/>
  <c r="J116" i="10" s="1"/>
  <c r="H116" i="10" s="1"/>
  <c r="V116" i="10" s="1"/>
  <c r="E116" i="10"/>
  <c r="F116" i="10" s="1"/>
  <c r="S115" i="10"/>
  <c r="R115" i="10" s="1"/>
  <c r="P115" i="10" s="1"/>
  <c r="N115" i="10" s="1"/>
  <c r="L115" i="10" s="1"/>
  <c r="J115" i="10" s="1"/>
  <c r="H115" i="10" s="1"/>
  <c r="V115" i="10" s="1"/>
  <c r="E115" i="10"/>
  <c r="F115" i="10" s="1"/>
  <c r="S114" i="10"/>
  <c r="R114" i="10" s="1"/>
  <c r="P114" i="10" s="1"/>
  <c r="N114" i="10" s="1"/>
  <c r="L114" i="10" s="1"/>
  <c r="J114" i="10" s="1"/>
  <c r="H114" i="10" s="1"/>
  <c r="V114" i="10" s="1"/>
  <c r="E114" i="10"/>
  <c r="F114" i="10" s="1"/>
  <c r="S113" i="10"/>
  <c r="R113" i="10" s="1"/>
  <c r="P113" i="10" s="1"/>
  <c r="N113" i="10" s="1"/>
  <c r="L113" i="10" s="1"/>
  <c r="J113" i="10" s="1"/>
  <c r="H113" i="10" s="1"/>
  <c r="V113" i="10" s="1"/>
  <c r="E113" i="10"/>
  <c r="F113" i="10" s="1"/>
  <c r="S107" i="10"/>
  <c r="R107" i="10" s="1"/>
  <c r="P107" i="10" s="1"/>
  <c r="N107" i="10" s="1"/>
  <c r="L107" i="10" s="1"/>
  <c r="J107" i="10" s="1"/>
  <c r="H107" i="10" s="1"/>
  <c r="V107" i="10" s="1"/>
  <c r="S106" i="10"/>
  <c r="R106" i="10" s="1"/>
  <c r="P106" i="10" s="1"/>
  <c r="N106" i="10" s="1"/>
  <c r="L106" i="10" s="1"/>
  <c r="J106" i="10" s="1"/>
  <c r="H106" i="10" s="1"/>
  <c r="V106" i="10" s="1"/>
  <c r="S105" i="10"/>
  <c r="R105" i="10" s="1"/>
  <c r="P105" i="10" s="1"/>
  <c r="N105" i="10" s="1"/>
  <c r="L105" i="10" s="1"/>
  <c r="J105" i="10" s="1"/>
  <c r="H105" i="10" s="1"/>
  <c r="V105" i="10" s="1"/>
  <c r="S103" i="10"/>
  <c r="R103" i="10" s="1"/>
  <c r="P103" i="10" s="1"/>
  <c r="N103" i="10" s="1"/>
  <c r="L103" i="10" s="1"/>
  <c r="J103" i="10" s="1"/>
  <c r="H103" i="10" s="1"/>
  <c r="V103" i="10" s="1"/>
  <c r="E103" i="10"/>
  <c r="F103" i="10" s="1"/>
  <c r="S102" i="10"/>
  <c r="R102" i="10" s="1"/>
  <c r="P102" i="10" s="1"/>
  <c r="N102" i="10" s="1"/>
  <c r="L102" i="10" s="1"/>
  <c r="J102" i="10" s="1"/>
  <c r="H102" i="10" s="1"/>
  <c r="V102" i="10" s="1"/>
  <c r="E102" i="10"/>
  <c r="F102" i="10" s="1"/>
  <c r="S101" i="10"/>
  <c r="R101" i="10" s="1"/>
  <c r="P101" i="10" s="1"/>
  <c r="N101" i="10" s="1"/>
  <c r="L101" i="10" s="1"/>
  <c r="J101" i="10" s="1"/>
  <c r="H101" i="10" s="1"/>
  <c r="V101" i="10" s="1"/>
  <c r="N100" i="10"/>
  <c r="S99" i="10"/>
  <c r="R99" i="10" s="1"/>
  <c r="P99" i="10" s="1"/>
  <c r="N99" i="10" s="1"/>
  <c r="L99" i="10" s="1"/>
  <c r="J99" i="10" s="1"/>
  <c r="H99" i="10" s="1"/>
  <c r="V99" i="10" s="1"/>
  <c r="S98" i="10"/>
  <c r="R98" i="10" s="1"/>
  <c r="P98" i="10" s="1"/>
  <c r="N98" i="10" s="1"/>
  <c r="L98" i="10" s="1"/>
  <c r="J98" i="10" s="1"/>
  <c r="H98" i="10" s="1"/>
  <c r="V98" i="10" s="1"/>
  <c r="E98" i="10"/>
  <c r="F98" i="10" s="1"/>
  <c r="S97" i="10"/>
  <c r="P97" i="10"/>
  <c r="N97" i="10" s="1"/>
  <c r="L97" i="10" s="1"/>
  <c r="J97" i="10" s="1"/>
  <c r="H97" i="10" s="1"/>
  <c r="V97" i="10" s="1"/>
  <c r="E97" i="10"/>
  <c r="F97" i="10" s="1"/>
  <c r="S96" i="10"/>
  <c r="R96" i="10" s="1"/>
  <c r="P96" i="10" s="1"/>
  <c r="N96" i="10" s="1"/>
  <c r="L96" i="10" s="1"/>
  <c r="J96" i="10" s="1"/>
  <c r="H96" i="10" s="1"/>
  <c r="V96" i="10" s="1"/>
  <c r="E96" i="10"/>
  <c r="F96" i="10" s="1"/>
  <c r="S95" i="10"/>
  <c r="R95" i="10" s="1"/>
  <c r="P95" i="10" s="1"/>
  <c r="N95" i="10" s="1"/>
  <c r="L95" i="10" s="1"/>
  <c r="J95" i="10" s="1"/>
  <c r="H95" i="10" s="1"/>
  <c r="V95" i="10" s="1"/>
  <c r="V93" i="10"/>
  <c r="W93" i="10" s="1"/>
  <c r="S91" i="10"/>
  <c r="R91" i="10" s="1"/>
  <c r="P91" i="10" s="1"/>
  <c r="N91" i="10" s="1"/>
  <c r="L91" i="10" s="1"/>
  <c r="J91" i="10" s="1"/>
  <c r="H91" i="10" s="1"/>
  <c r="V91" i="10" s="1"/>
  <c r="D91" i="10"/>
  <c r="E91" i="10" s="1"/>
  <c r="F91" i="10" s="1"/>
  <c r="S90" i="10"/>
  <c r="R90" i="10" s="1"/>
  <c r="P90" i="10" s="1"/>
  <c r="N90" i="10" s="1"/>
  <c r="L90" i="10" s="1"/>
  <c r="J90" i="10" s="1"/>
  <c r="H90" i="10" s="1"/>
  <c r="V90" i="10" s="1"/>
  <c r="D90" i="10"/>
  <c r="E90" i="10" s="1"/>
  <c r="F90" i="10" s="1"/>
  <c r="S89" i="10"/>
  <c r="R89" i="10" s="1"/>
  <c r="P89" i="10" s="1"/>
  <c r="N89" i="10" s="1"/>
  <c r="L89" i="10" s="1"/>
  <c r="J89" i="10" s="1"/>
  <c r="H89" i="10" s="1"/>
  <c r="V89" i="10" s="1"/>
  <c r="D89" i="10"/>
  <c r="E89" i="10" s="1"/>
  <c r="F89" i="10" s="1"/>
  <c r="S88" i="10"/>
  <c r="R88" i="10" s="1"/>
  <c r="P88" i="10" s="1"/>
  <c r="N88" i="10" s="1"/>
  <c r="L88" i="10" s="1"/>
  <c r="J88" i="10" s="1"/>
  <c r="H88" i="10" s="1"/>
  <c r="V88" i="10" s="1"/>
  <c r="D88" i="10"/>
  <c r="E88" i="10" s="1"/>
  <c r="F88" i="10" s="1"/>
  <c r="R87" i="10"/>
  <c r="P87" i="10" s="1"/>
  <c r="N87" i="10" s="1"/>
  <c r="L87" i="10" s="1"/>
  <c r="J87" i="10" s="1"/>
  <c r="H87" i="10" s="1"/>
  <c r="V87" i="10" s="1"/>
  <c r="W87" i="10" s="1"/>
  <c r="S86" i="10"/>
  <c r="R86" i="10" s="1"/>
  <c r="P86" i="10" s="1"/>
  <c r="N86" i="10" s="1"/>
  <c r="L86" i="10" s="1"/>
  <c r="J86" i="10" s="1"/>
  <c r="H86" i="10" s="1"/>
  <c r="V86" i="10" s="1"/>
  <c r="D86" i="10"/>
  <c r="E86" i="10" s="1"/>
  <c r="F86" i="10" s="1"/>
  <c r="S85" i="10"/>
  <c r="R85" i="10" s="1"/>
  <c r="P85" i="10" s="1"/>
  <c r="N85" i="10" s="1"/>
  <c r="L85" i="10" s="1"/>
  <c r="J85" i="10" s="1"/>
  <c r="H85" i="10" s="1"/>
  <c r="V85" i="10" s="1"/>
  <c r="D85" i="10"/>
  <c r="E85" i="10" s="1"/>
  <c r="F85" i="10" s="1"/>
  <c r="S84" i="10"/>
  <c r="R84" i="10" s="1"/>
  <c r="P84" i="10" s="1"/>
  <c r="N84" i="10" s="1"/>
  <c r="L84" i="10" s="1"/>
  <c r="J84" i="10" s="1"/>
  <c r="H84" i="10" s="1"/>
  <c r="V84" i="10" s="1"/>
  <c r="W84" i="10" s="1"/>
  <c r="D84" i="10"/>
  <c r="E84" i="10" s="1"/>
  <c r="F84" i="10" s="1"/>
  <c r="S83" i="10"/>
  <c r="R83" i="10" s="1"/>
  <c r="P83" i="10" s="1"/>
  <c r="N83" i="10" s="1"/>
  <c r="L83" i="10" s="1"/>
  <c r="J83" i="10" s="1"/>
  <c r="H83" i="10" s="1"/>
  <c r="V83" i="10" s="1"/>
  <c r="D83" i="10"/>
  <c r="E83" i="10" s="1"/>
  <c r="F83" i="10" s="1"/>
  <c r="S82" i="10"/>
  <c r="N82" i="10"/>
  <c r="L82" i="10" s="1"/>
  <c r="J82" i="10" s="1"/>
  <c r="H82" i="10" s="1"/>
  <c r="V82" i="10" s="1"/>
  <c r="U82" i="10" s="1"/>
  <c r="D82" i="10"/>
  <c r="E82" i="10" s="1"/>
  <c r="F82" i="10" s="1"/>
  <c r="S81" i="10"/>
  <c r="R81" i="10" s="1"/>
  <c r="P81" i="10" s="1"/>
  <c r="N81" i="10" s="1"/>
  <c r="L81" i="10" s="1"/>
  <c r="J81" i="10" s="1"/>
  <c r="H81" i="10" s="1"/>
  <c r="V81" i="10" s="1"/>
  <c r="W81" i="10" s="1"/>
  <c r="D81" i="10"/>
  <c r="E81" i="10" s="1"/>
  <c r="F81" i="10" s="1"/>
  <c r="S80" i="10"/>
  <c r="R80" i="10" s="1"/>
  <c r="P80" i="10" s="1"/>
  <c r="N80" i="10" s="1"/>
  <c r="L80" i="10" s="1"/>
  <c r="J80" i="10" s="1"/>
  <c r="H80" i="10" s="1"/>
  <c r="V80" i="10" s="1"/>
  <c r="F80" i="10"/>
  <c r="S79" i="10"/>
  <c r="P79" i="10"/>
  <c r="N79" i="10" s="1"/>
  <c r="L79" i="10" s="1"/>
  <c r="J79" i="10" s="1"/>
  <c r="H79" i="10" s="1"/>
  <c r="V79" i="10" s="1"/>
  <c r="E79" i="10"/>
  <c r="F79" i="10" s="1"/>
  <c r="S78" i="10"/>
  <c r="P78" i="10"/>
  <c r="N78" i="10" s="1"/>
  <c r="L78" i="10" s="1"/>
  <c r="J78" i="10" s="1"/>
  <c r="H78" i="10" s="1"/>
  <c r="V78" i="10" s="1"/>
  <c r="D78" i="10"/>
  <c r="E78" i="10" s="1"/>
  <c r="S77" i="10"/>
  <c r="P77" i="10"/>
  <c r="N77" i="10" s="1"/>
  <c r="L77" i="10" s="1"/>
  <c r="J77" i="10" s="1"/>
  <c r="H77" i="10" s="1"/>
  <c r="V77" i="10" s="1"/>
  <c r="D77" i="10"/>
  <c r="E77" i="10" s="1"/>
  <c r="F77" i="10" s="1"/>
  <c r="S76" i="10"/>
  <c r="P76" i="10"/>
  <c r="N76" i="10" s="1"/>
  <c r="L76" i="10" s="1"/>
  <c r="J76" i="10" s="1"/>
  <c r="H76" i="10" s="1"/>
  <c r="V76" i="10" s="1"/>
  <c r="W76" i="10" s="1"/>
  <c r="D76" i="10"/>
  <c r="E76" i="10" s="1"/>
  <c r="F76" i="10" s="1"/>
  <c r="S75" i="10"/>
  <c r="P75" i="10"/>
  <c r="N75" i="10" s="1"/>
  <c r="L75" i="10" s="1"/>
  <c r="J75" i="10" s="1"/>
  <c r="H75" i="10" s="1"/>
  <c r="V75" i="10" s="1"/>
  <c r="D75" i="10"/>
  <c r="E75" i="10" s="1"/>
  <c r="F75" i="10" s="1"/>
  <c r="S74" i="10"/>
  <c r="P74" i="10"/>
  <c r="N74" i="10" s="1"/>
  <c r="L74" i="10" s="1"/>
  <c r="J74" i="10" s="1"/>
  <c r="H74" i="10" s="1"/>
  <c r="V74" i="10" s="1"/>
  <c r="U74" i="10" s="1"/>
  <c r="D74" i="10"/>
  <c r="E74" i="10" s="1"/>
  <c r="F74" i="10" s="1"/>
  <c r="S73" i="10"/>
  <c r="P73" i="10"/>
  <c r="N73" i="10" s="1"/>
  <c r="L73" i="10" s="1"/>
  <c r="J73" i="10" s="1"/>
  <c r="H73" i="10" s="1"/>
  <c r="V73" i="10" s="1"/>
  <c r="D73" i="10"/>
  <c r="E73" i="10" s="1"/>
  <c r="F73" i="10" s="1"/>
  <c r="S72" i="10"/>
  <c r="P72" i="10"/>
  <c r="N72" i="10" s="1"/>
  <c r="L72" i="10" s="1"/>
  <c r="J72" i="10" s="1"/>
  <c r="H72" i="10" s="1"/>
  <c r="V72" i="10" s="1"/>
  <c r="W72" i="10" s="1"/>
  <c r="D72" i="10"/>
  <c r="E72" i="10" s="1"/>
  <c r="F72" i="10" s="1"/>
  <c r="S71" i="10"/>
  <c r="P71" i="10"/>
  <c r="N71" i="10" s="1"/>
  <c r="L71" i="10" s="1"/>
  <c r="J71" i="10" s="1"/>
  <c r="H71" i="10" s="1"/>
  <c r="V71" i="10" s="1"/>
  <c r="D71" i="10"/>
  <c r="E71" i="10" s="1"/>
  <c r="F71" i="10" s="1"/>
  <c r="S70" i="10"/>
  <c r="P70" i="10"/>
  <c r="N70" i="10" s="1"/>
  <c r="L70" i="10" s="1"/>
  <c r="J70" i="10" s="1"/>
  <c r="H70" i="10" s="1"/>
  <c r="V70" i="10" s="1"/>
  <c r="D70" i="10"/>
  <c r="E70" i="10" s="1"/>
  <c r="F70" i="10" s="1"/>
  <c r="S69" i="10"/>
  <c r="P69" i="10"/>
  <c r="N69" i="10" s="1"/>
  <c r="L69" i="10" s="1"/>
  <c r="J69" i="10" s="1"/>
  <c r="H69" i="10" s="1"/>
  <c r="V69" i="10" s="1"/>
  <c r="U69" i="10" s="1"/>
  <c r="D69" i="10"/>
  <c r="E69" i="10" s="1"/>
  <c r="F69" i="10" s="1"/>
  <c r="S68" i="10"/>
  <c r="P68" i="10"/>
  <c r="N68" i="10" s="1"/>
  <c r="L68" i="10" s="1"/>
  <c r="J68" i="10" s="1"/>
  <c r="H68" i="10" s="1"/>
  <c r="V68" i="10" s="1"/>
  <c r="W68" i="10" s="1"/>
  <c r="D68" i="10"/>
  <c r="E68" i="10" s="1"/>
  <c r="F68" i="10" s="1"/>
  <c r="S67" i="10"/>
  <c r="P67" i="10"/>
  <c r="N67" i="10" s="1"/>
  <c r="L67" i="10" s="1"/>
  <c r="J67" i="10" s="1"/>
  <c r="H67" i="10" s="1"/>
  <c r="V67" i="10" s="1"/>
  <c r="D67" i="10"/>
  <c r="E67" i="10" s="1"/>
  <c r="F67" i="10" s="1"/>
  <c r="S66" i="10"/>
  <c r="P66" i="10"/>
  <c r="N66" i="10" s="1"/>
  <c r="L66" i="10" s="1"/>
  <c r="J66" i="10" s="1"/>
  <c r="H66" i="10" s="1"/>
  <c r="V66" i="10" s="1"/>
  <c r="D66" i="10"/>
  <c r="E66" i="10" s="1"/>
  <c r="F66" i="10" s="1"/>
  <c r="S65" i="10"/>
  <c r="P65" i="10"/>
  <c r="N65" i="10" s="1"/>
  <c r="L65" i="10" s="1"/>
  <c r="J65" i="10" s="1"/>
  <c r="H65" i="10" s="1"/>
  <c r="V65" i="10" s="1"/>
  <c r="D65" i="10"/>
  <c r="E65" i="10" s="1"/>
  <c r="F65" i="10" s="1"/>
  <c r="S64" i="10"/>
  <c r="P64" i="10"/>
  <c r="N64" i="10" s="1"/>
  <c r="L64" i="10" s="1"/>
  <c r="J64" i="10" s="1"/>
  <c r="H64" i="10" s="1"/>
  <c r="V64" i="10" s="1"/>
  <c r="D64" i="10"/>
  <c r="E64" i="10" s="1"/>
  <c r="F64" i="10" s="1"/>
  <c r="S63" i="10"/>
  <c r="P63" i="10"/>
  <c r="N63" i="10" s="1"/>
  <c r="L63" i="10" s="1"/>
  <c r="J63" i="10" s="1"/>
  <c r="H63" i="10" s="1"/>
  <c r="V63" i="10" s="1"/>
  <c r="D63" i="10"/>
  <c r="E63" i="10" s="1"/>
  <c r="F63" i="10" s="1"/>
  <c r="S62" i="10"/>
  <c r="P62" i="10"/>
  <c r="N62" i="10" s="1"/>
  <c r="L62" i="10" s="1"/>
  <c r="J62" i="10" s="1"/>
  <c r="H62" i="10" s="1"/>
  <c r="V62" i="10" s="1"/>
  <c r="D62" i="10"/>
  <c r="E62" i="10" s="1"/>
  <c r="F62" i="10" s="1"/>
  <c r="S61" i="10"/>
  <c r="P61" i="10"/>
  <c r="N61" i="10" s="1"/>
  <c r="L61" i="10" s="1"/>
  <c r="J61" i="10" s="1"/>
  <c r="H61" i="10" s="1"/>
  <c r="V61" i="10" s="1"/>
  <c r="D61" i="10"/>
  <c r="E61" i="10" s="1"/>
  <c r="F61" i="10" s="1"/>
  <c r="S60" i="10"/>
  <c r="P60" i="10"/>
  <c r="N60" i="10" s="1"/>
  <c r="L60" i="10" s="1"/>
  <c r="J60" i="10" s="1"/>
  <c r="H60" i="10" s="1"/>
  <c r="V60" i="10" s="1"/>
  <c r="W60" i="10" s="1"/>
  <c r="D60" i="10"/>
  <c r="E60" i="10" s="1"/>
  <c r="F60" i="10" s="1"/>
  <c r="S59" i="10"/>
  <c r="P59" i="10"/>
  <c r="N59" i="10" s="1"/>
  <c r="L59" i="10" s="1"/>
  <c r="J59" i="10" s="1"/>
  <c r="H59" i="10" s="1"/>
  <c r="V59" i="10" s="1"/>
  <c r="D59" i="10"/>
  <c r="E59" i="10" s="1"/>
  <c r="F59" i="10" s="1"/>
  <c r="S58" i="10"/>
  <c r="P58" i="10"/>
  <c r="N58" i="10" s="1"/>
  <c r="L58" i="10" s="1"/>
  <c r="J58" i="10" s="1"/>
  <c r="H58" i="10" s="1"/>
  <c r="V58" i="10" s="1"/>
  <c r="D58" i="10"/>
  <c r="E58" i="10" s="1"/>
  <c r="F58" i="10" s="1"/>
  <c r="S57" i="10"/>
  <c r="P57" i="10"/>
  <c r="N57" i="10" s="1"/>
  <c r="L57" i="10" s="1"/>
  <c r="J57" i="10" s="1"/>
  <c r="H57" i="10" s="1"/>
  <c r="V57" i="10" s="1"/>
  <c r="U57" i="10" s="1"/>
  <c r="D57" i="10"/>
  <c r="E57" i="10" s="1"/>
  <c r="F57" i="10" s="1"/>
  <c r="P56" i="10"/>
  <c r="N56" i="10" s="1"/>
  <c r="L56" i="10" s="1"/>
  <c r="J56" i="10" s="1"/>
  <c r="H56" i="10" s="1"/>
  <c r="V56" i="10" s="1"/>
  <c r="W56" i="10" s="1"/>
  <c r="D56" i="10"/>
  <c r="E56" i="10" s="1"/>
  <c r="F56" i="10" s="1"/>
  <c r="S55" i="10"/>
  <c r="P55" i="10"/>
  <c r="N55" i="10" s="1"/>
  <c r="L55" i="10" s="1"/>
  <c r="J55" i="10" s="1"/>
  <c r="H55" i="10" s="1"/>
  <c r="V55" i="10" s="1"/>
  <c r="U55" i="10" s="1"/>
  <c r="D55" i="10"/>
  <c r="E55" i="10" s="1"/>
  <c r="F55" i="10" s="1"/>
  <c r="V52" i="10"/>
  <c r="W52" i="10" s="1"/>
  <c r="P50" i="10"/>
  <c r="N50" i="10" s="1"/>
  <c r="L50" i="10" s="1"/>
  <c r="J50" i="10" s="1"/>
  <c r="H50" i="10" s="1"/>
  <c r="V50" i="10" s="1"/>
  <c r="W50" i="10" s="1"/>
  <c r="N49" i="10"/>
  <c r="L49" i="10" s="1"/>
  <c r="J49" i="10" s="1"/>
  <c r="H49" i="10" s="1"/>
  <c r="V49" i="10" s="1"/>
  <c r="W49" i="10" s="1"/>
  <c r="E49" i="10"/>
  <c r="F49" i="10" s="1"/>
  <c r="P48" i="10"/>
  <c r="N48" i="10" s="1"/>
  <c r="L48" i="10" s="1"/>
  <c r="J48" i="10" s="1"/>
  <c r="H48" i="10" s="1"/>
  <c r="V48" i="10" s="1"/>
  <c r="W48" i="10" s="1"/>
  <c r="E48" i="10"/>
  <c r="F48" i="10" s="1"/>
  <c r="S47" i="10"/>
  <c r="P47" i="10"/>
  <c r="N47" i="10" s="1"/>
  <c r="L47" i="10" s="1"/>
  <c r="J47" i="10" s="1"/>
  <c r="H47" i="10" s="1"/>
  <c r="V47" i="10" s="1"/>
  <c r="E47" i="10"/>
  <c r="F47" i="10" s="1"/>
  <c r="P45" i="10"/>
  <c r="N45" i="10" s="1"/>
  <c r="L45" i="10" s="1"/>
  <c r="J45" i="10" s="1"/>
  <c r="H45" i="10" s="1"/>
  <c r="V45" i="10" s="1"/>
  <c r="W45" i="10" s="1"/>
  <c r="E45" i="10"/>
  <c r="F45" i="10" s="1"/>
  <c r="P44" i="10"/>
  <c r="N44" i="10" s="1"/>
  <c r="L44" i="10" s="1"/>
  <c r="J44" i="10" s="1"/>
  <c r="H44" i="10" s="1"/>
  <c r="V44" i="10" s="1"/>
  <c r="W44" i="10" s="1"/>
  <c r="N43" i="10"/>
  <c r="L43" i="10" s="1"/>
  <c r="J43" i="10" s="1"/>
  <c r="H43" i="10" s="1"/>
  <c r="V43" i="10" s="1"/>
  <c r="W43" i="10" s="1"/>
  <c r="S42" i="10"/>
  <c r="N42" i="10"/>
  <c r="L42" i="10" s="1"/>
  <c r="J42" i="10" s="1"/>
  <c r="H42" i="10" s="1"/>
  <c r="V42" i="10" s="1"/>
  <c r="E42" i="10"/>
  <c r="F42" i="10" s="1"/>
  <c r="S40" i="10"/>
  <c r="P40" i="10"/>
  <c r="N40" i="10" s="1"/>
  <c r="L40" i="10" s="1"/>
  <c r="J40" i="10" s="1"/>
  <c r="H40" i="10" s="1"/>
  <c r="V40" i="10" s="1"/>
  <c r="E40" i="10"/>
  <c r="F40" i="10" s="1"/>
  <c r="V39" i="10"/>
  <c r="U39" i="10" s="1"/>
  <c r="S39" i="10"/>
  <c r="P39" i="10"/>
  <c r="N39" i="10" s="1"/>
  <c r="L39" i="10" s="1"/>
  <c r="J39" i="10" s="1"/>
  <c r="E39" i="10"/>
  <c r="F39" i="10" s="1"/>
  <c r="S38" i="10"/>
  <c r="P38" i="10"/>
  <c r="N38" i="10" s="1"/>
  <c r="L38" i="10" s="1"/>
  <c r="J38" i="10" s="1"/>
  <c r="H38" i="10" s="1"/>
  <c r="V38" i="10" s="1"/>
  <c r="E38" i="10"/>
  <c r="F38" i="10" s="1"/>
  <c r="P35" i="10"/>
  <c r="N35" i="10" s="1"/>
  <c r="L35" i="10" s="1"/>
  <c r="J35" i="10" s="1"/>
  <c r="H35" i="10" s="1"/>
  <c r="V35" i="10" s="1"/>
  <c r="W35" i="10" s="1"/>
  <c r="P33" i="10"/>
  <c r="N33" i="10" s="1"/>
  <c r="L33" i="10" s="1"/>
  <c r="J33" i="10" s="1"/>
  <c r="H33" i="10" s="1"/>
  <c r="V33" i="10" s="1"/>
  <c r="W33" i="10" s="1"/>
  <c r="S31" i="10"/>
  <c r="P31" i="10"/>
  <c r="N31" i="10" s="1"/>
  <c r="L31" i="10" s="1"/>
  <c r="J31" i="10" s="1"/>
  <c r="H31" i="10" s="1"/>
  <c r="V31" i="10" s="1"/>
  <c r="E31" i="10"/>
  <c r="F31" i="10" s="1"/>
  <c r="S30" i="10"/>
  <c r="P30" i="10"/>
  <c r="N30" i="10" s="1"/>
  <c r="L30" i="10" s="1"/>
  <c r="J30" i="10" s="1"/>
  <c r="H30" i="10" s="1"/>
  <c r="V30" i="10" s="1"/>
  <c r="E30" i="10"/>
  <c r="F30" i="10" s="1"/>
  <c r="S29" i="10"/>
  <c r="P29" i="10"/>
  <c r="N29" i="10" s="1"/>
  <c r="L29" i="10" s="1"/>
  <c r="J29" i="10" s="1"/>
  <c r="H29" i="10" s="1"/>
  <c r="V29" i="10" s="1"/>
  <c r="E29" i="10"/>
  <c r="F29" i="10" s="1"/>
  <c r="S27" i="10"/>
  <c r="P27" i="10"/>
  <c r="N27" i="10" s="1"/>
  <c r="L27" i="10" s="1"/>
  <c r="J27" i="10" s="1"/>
  <c r="H27" i="10" s="1"/>
  <c r="V27" i="10" s="1"/>
  <c r="E27" i="10"/>
  <c r="F27" i="10" s="1"/>
  <c r="P26" i="10"/>
  <c r="N26" i="10" s="1"/>
  <c r="L26" i="10" s="1"/>
  <c r="J26" i="10" s="1"/>
  <c r="H26" i="10" s="1"/>
  <c r="V26" i="10" s="1"/>
  <c r="W26" i="10" s="1"/>
  <c r="E26" i="10"/>
  <c r="F26" i="10" s="1"/>
  <c r="S25" i="10"/>
  <c r="P25" i="10"/>
  <c r="N25" i="10" s="1"/>
  <c r="L25" i="10" s="1"/>
  <c r="J25" i="10" s="1"/>
  <c r="H25" i="10" s="1"/>
  <c r="V25" i="10" s="1"/>
  <c r="E25" i="10"/>
  <c r="F25" i="10" s="1"/>
  <c r="V24" i="10"/>
  <c r="W24" i="10" s="1"/>
  <c r="S23" i="10"/>
  <c r="P23" i="10"/>
  <c r="L23" i="10"/>
  <c r="J23" i="10" s="1"/>
  <c r="H23" i="10" s="1"/>
  <c r="V23" i="10" s="1"/>
  <c r="E23" i="10"/>
  <c r="F23" i="10" s="1"/>
  <c r="W764" i="10" l="1"/>
  <c r="U704" i="10"/>
  <c r="U673" i="10"/>
  <c r="W224" i="10"/>
  <c r="U224" i="10"/>
  <c r="W703" i="10"/>
  <c r="U708" i="10"/>
  <c r="U229" i="10"/>
  <c r="U42" i="10"/>
  <c r="W42" i="10"/>
  <c r="U85" i="10"/>
  <c r="W85" i="10"/>
  <c r="U86" i="10"/>
  <c r="W86" i="10"/>
  <c r="U223" i="10"/>
  <c r="W74" i="10"/>
  <c r="U758" i="10"/>
  <c r="W758" i="10"/>
  <c r="W400" i="10"/>
  <c r="U674" i="10"/>
  <c r="W63" i="10"/>
  <c r="U63" i="10"/>
  <c r="U61" i="10"/>
  <c r="W61" i="10"/>
  <c r="U66" i="10"/>
  <c r="W66" i="10"/>
  <c r="W25" i="10"/>
  <c r="U25" i="10"/>
  <c r="U27" i="10"/>
  <c r="W27" i="10"/>
  <c r="U30" i="10"/>
  <c r="W30" i="10"/>
  <c r="W67" i="10"/>
  <c r="U67" i="10"/>
  <c r="U70" i="10"/>
  <c r="W70" i="10"/>
  <c r="U80" i="10"/>
  <c r="W80" i="10"/>
  <c r="W59" i="10"/>
  <c r="U59" i="10"/>
  <c r="U65" i="10"/>
  <c r="W65" i="10"/>
  <c r="W71" i="10"/>
  <c r="U71" i="10"/>
  <c r="W23" i="10"/>
  <c r="U23" i="10"/>
  <c r="U29" i="10"/>
  <c r="W29" i="10"/>
  <c r="U31" i="10"/>
  <c r="W31" i="10"/>
  <c r="U38" i="10"/>
  <c r="W38" i="10"/>
  <c r="U40" i="10"/>
  <c r="W40" i="10"/>
  <c r="U47" i="10"/>
  <c r="W47" i="10"/>
  <c r="U58" i="10"/>
  <c r="W58" i="10"/>
  <c r="U62" i="10"/>
  <c r="W62" i="10"/>
  <c r="W64" i="10"/>
  <c r="U64" i="10"/>
  <c r="W75" i="10"/>
  <c r="U75" i="10"/>
  <c r="W39" i="10"/>
  <c r="U72" i="10"/>
  <c r="U76" i="10"/>
  <c r="U79" i="10"/>
  <c r="W79" i="10"/>
  <c r="W101" i="10"/>
  <c r="U101" i="10"/>
  <c r="U115" i="10"/>
  <c r="W115" i="10"/>
  <c r="U128" i="10"/>
  <c r="W128" i="10"/>
  <c r="U134" i="10"/>
  <c r="W134" i="10"/>
  <c r="U137" i="10"/>
  <c r="W137" i="10"/>
  <c r="W144" i="10"/>
  <c r="U144" i="10"/>
  <c r="W155" i="10"/>
  <c r="U155" i="10"/>
  <c r="U60" i="10"/>
  <c r="W82" i="10"/>
  <c r="W89" i="10"/>
  <c r="U89" i="10"/>
  <c r="U95" i="10"/>
  <c r="W95" i="10"/>
  <c r="U97" i="10"/>
  <c r="W97" i="10"/>
  <c r="U107" i="10"/>
  <c r="W107" i="10"/>
  <c r="W114" i="10"/>
  <c r="U114" i="10"/>
  <c r="U125" i="10"/>
  <c r="W125" i="10"/>
  <c r="W129" i="10"/>
  <c r="U129" i="10"/>
  <c r="W139" i="10"/>
  <c r="U139" i="10"/>
  <c r="W142" i="10"/>
  <c r="U142" i="10"/>
  <c r="W147" i="10"/>
  <c r="U147" i="10"/>
  <c r="U154" i="10"/>
  <c r="W154" i="10"/>
  <c r="W161" i="10"/>
  <c r="U161" i="10"/>
  <c r="W167" i="10"/>
  <c r="U167" i="10"/>
  <c r="W171" i="10"/>
  <c r="U171" i="10"/>
  <c r="U172" i="10"/>
  <c r="W172" i="10"/>
  <c r="U179" i="10"/>
  <c r="W179" i="10"/>
  <c r="U185" i="10"/>
  <c r="W185" i="10"/>
  <c r="W193" i="10"/>
  <c r="U193" i="10"/>
  <c r="W203" i="10"/>
  <c r="U203" i="10"/>
  <c r="U241" i="10"/>
  <c r="W241" i="10"/>
  <c r="U246" i="10"/>
  <c r="W246" i="10"/>
  <c r="W247" i="10"/>
  <c r="U247" i="10"/>
  <c r="W69" i="10"/>
  <c r="W73" i="10"/>
  <c r="U73" i="10"/>
  <c r="U77" i="10"/>
  <c r="W77" i="10"/>
  <c r="U84" i="10"/>
  <c r="U88" i="10"/>
  <c r="W88" i="10"/>
  <c r="U90" i="10"/>
  <c r="W90" i="10"/>
  <c r="W103" i="10"/>
  <c r="U103" i="10"/>
  <c r="W106" i="10"/>
  <c r="U106" i="10"/>
  <c r="W113" i="10"/>
  <c r="U113" i="10"/>
  <c r="W120" i="10"/>
  <c r="U120" i="10"/>
  <c r="U122" i="10"/>
  <c r="W122" i="10"/>
  <c r="W126" i="10"/>
  <c r="U126" i="10"/>
  <c r="W140" i="10"/>
  <c r="U140" i="10"/>
  <c r="U150" i="10"/>
  <c r="W150" i="10"/>
  <c r="U164" i="10"/>
  <c r="W164" i="10"/>
  <c r="U165" i="10"/>
  <c r="W165" i="10"/>
  <c r="U168" i="10"/>
  <c r="W168" i="10"/>
  <c r="U174" i="10"/>
  <c r="W174" i="10"/>
  <c r="W177" i="10"/>
  <c r="U177" i="10"/>
  <c r="W181" i="10"/>
  <c r="U181" i="10"/>
  <c r="W184" i="10"/>
  <c r="U184" i="10"/>
  <c r="W190" i="10"/>
  <c r="U190" i="10"/>
  <c r="W197" i="10"/>
  <c r="U197" i="10"/>
  <c r="W199" i="10"/>
  <c r="U199" i="10"/>
  <c r="W206" i="10"/>
  <c r="U206" i="10"/>
  <c r="W214" i="10"/>
  <c r="U214" i="10"/>
  <c r="U217" i="10"/>
  <c r="W217" i="10"/>
  <c r="W218" i="10"/>
  <c r="U218" i="10"/>
  <c r="W57" i="10"/>
  <c r="U68" i="10"/>
  <c r="W78" i="10"/>
  <c r="U78" i="10"/>
  <c r="U83" i="10"/>
  <c r="W83" i="10"/>
  <c r="W91" i="10"/>
  <c r="U91" i="10"/>
  <c r="U99" i="10"/>
  <c r="W99" i="10"/>
  <c r="W102" i="10"/>
  <c r="U102" i="10"/>
  <c r="W116" i="10"/>
  <c r="U116" i="10"/>
  <c r="U124" i="10"/>
  <c r="W124" i="10"/>
  <c r="W132" i="10"/>
  <c r="U132" i="10"/>
  <c r="W136" i="10"/>
  <c r="U136" i="10"/>
  <c r="W145" i="10"/>
  <c r="U145" i="10"/>
  <c r="W148" i="10"/>
  <c r="U148" i="10"/>
  <c r="W151" i="10"/>
  <c r="U151" i="10"/>
  <c r="U160" i="10"/>
  <c r="W160" i="10"/>
  <c r="W170" i="10"/>
  <c r="U170" i="10"/>
  <c r="W180" i="10"/>
  <c r="U180" i="10"/>
  <c r="W198" i="10"/>
  <c r="U198" i="10"/>
  <c r="U201" i="10"/>
  <c r="W201" i="10"/>
  <c r="U205" i="10"/>
  <c r="W205" i="10"/>
  <c r="W220" i="10"/>
  <c r="U220" i="10"/>
  <c r="W231" i="10"/>
  <c r="U231" i="10"/>
  <c r="U250" i="10"/>
  <c r="W250" i="10"/>
  <c r="W252" i="10"/>
  <c r="U252" i="10"/>
  <c r="W55" i="10"/>
  <c r="U81" i="10"/>
  <c r="W96" i="10"/>
  <c r="U96" i="10"/>
  <c r="W98" i="10"/>
  <c r="U98" i="10"/>
  <c r="W105" i="10"/>
  <c r="U105" i="10"/>
  <c r="W117" i="10"/>
  <c r="U117" i="10"/>
  <c r="W130" i="10"/>
  <c r="U130" i="10"/>
  <c r="U135" i="10"/>
  <c r="W135" i="10"/>
  <c r="U141" i="10"/>
  <c r="W141" i="10"/>
  <c r="W152" i="10"/>
  <c r="U152" i="10"/>
  <c r="W163" i="10"/>
  <c r="U163" i="10"/>
  <c r="U175" i="10"/>
  <c r="W175" i="10"/>
  <c r="U182" i="10"/>
  <c r="W182" i="10"/>
  <c r="W191" i="10"/>
  <c r="U191" i="10"/>
  <c r="W194" i="10"/>
  <c r="U194" i="10"/>
  <c r="U200" i="10"/>
  <c r="W200" i="10"/>
  <c r="W215" i="10"/>
  <c r="U215" i="10"/>
  <c r="W227" i="10"/>
  <c r="U227" i="10"/>
  <c r="U236" i="10"/>
  <c r="W236" i="10"/>
  <c r="W279" i="10"/>
  <c r="U279" i="10"/>
  <c r="U283" i="10"/>
  <c r="W283" i="10"/>
  <c r="W284" i="10"/>
  <c r="U284" i="10"/>
  <c r="U287" i="10"/>
  <c r="W287" i="10"/>
  <c r="W289" i="10"/>
  <c r="U289" i="10"/>
  <c r="W292" i="10"/>
  <c r="U292" i="10"/>
  <c r="W293" i="10"/>
  <c r="U293" i="10"/>
  <c r="W299" i="10"/>
  <c r="U299" i="10"/>
  <c r="W303" i="10"/>
  <c r="U303" i="10"/>
  <c r="U308" i="10"/>
  <c r="W308" i="10"/>
  <c r="W314" i="10"/>
  <c r="U314" i="10"/>
  <c r="U329" i="10"/>
  <c r="W329" i="10"/>
  <c r="W336" i="10"/>
  <c r="U336" i="10"/>
  <c r="U195" i="10"/>
  <c r="W240" i="10"/>
  <c r="U240" i="10"/>
  <c r="U243" i="10"/>
  <c r="W251" i="10"/>
  <c r="U260" i="10"/>
  <c r="W260" i="10"/>
  <c r="W261" i="10"/>
  <c r="U261" i="10"/>
  <c r="W298" i="10"/>
  <c r="U298" i="10"/>
  <c r="W320" i="10"/>
  <c r="U320" i="10"/>
  <c r="W221" i="10"/>
  <c r="U221" i="10"/>
  <c r="W248" i="10"/>
  <c r="U248" i="10"/>
  <c r="U259" i="10"/>
  <c r="W259" i="10"/>
  <c r="U280" i="10"/>
  <c r="W280" i="10"/>
  <c r="W282" i="10"/>
  <c r="U282" i="10"/>
  <c r="U285" i="10"/>
  <c r="W285" i="10"/>
  <c r="W286" i="10"/>
  <c r="U286" i="10"/>
  <c r="U290" i="10"/>
  <c r="W290" i="10"/>
  <c r="W291" i="10"/>
  <c r="U291" i="10"/>
  <c r="W296" i="10"/>
  <c r="U296" i="10"/>
  <c r="U313" i="10"/>
  <c r="W313" i="10"/>
  <c r="W315" i="10"/>
  <c r="U315" i="10"/>
  <c r="U328" i="10"/>
  <c r="W328" i="10"/>
  <c r="W213" i="10"/>
  <c r="U213" i="10"/>
  <c r="U225" i="10"/>
  <c r="W225" i="10"/>
  <c r="U230" i="10"/>
  <c r="W230" i="10"/>
  <c r="W232" i="10"/>
  <c r="U232" i="10"/>
  <c r="W234" i="10"/>
  <c r="U245" i="10"/>
  <c r="W245" i="10"/>
  <c r="W295" i="10"/>
  <c r="U295" i="10"/>
  <c r="U302" i="10"/>
  <c r="W302" i="10"/>
  <c r="W319" i="10"/>
  <c r="U319" i="10"/>
  <c r="W324" i="10"/>
  <c r="U324" i="10"/>
  <c r="W340" i="10"/>
  <c r="U340" i="10"/>
  <c r="W301" i="10"/>
  <c r="W318" i="10"/>
  <c r="U318" i="10"/>
  <c r="W343" i="10"/>
  <c r="W384" i="10"/>
  <c r="U384" i="10"/>
  <c r="W397" i="10"/>
  <c r="U397" i="10"/>
  <c r="U403" i="10"/>
  <c r="W403" i="10"/>
  <c r="W411" i="10"/>
  <c r="U411" i="10"/>
  <c r="U416" i="10"/>
  <c r="W416" i="10"/>
  <c r="W309" i="10"/>
  <c r="U309" i="10"/>
  <c r="W316" i="10"/>
  <c r="U316" i="10"/>
  <c r="W321" i="10"/>
  <c r="U321" i="10"/>
  <c r="U331" i="10"/>
  <c r="W331" i="10"/>
  <c r="W335" i="10"/>
  <c r="U335" i="10"/>
  <c r="W341" i="10"/>
  <c r="U341" i="10"/>
  <c r="W345" i="10"/>
  <c r="U345" i="10"/>
  <c r="U348" i="10"/>
  <c r="W348" i="10"/>
  <c r="W350" i="10"/>
  <c r="U350" i="10"/>
  <c r="W356" i="10"/>
  <c r="U356" i="10"/>
  <c r="U357" i="10"/>
  <c r="W357" i="10"/>
  <c r="W358" i="10"/>
  <c r="U358" i="10"/>
  <c r="U360" i="10"/>
  <c r="W360" i="10"/>
  <c r="W374" i="10"/>
  <c r="U374" i="10"/>
  <c r="U375" i="10"/>
  <c r="W375" i="10"/>
  <c r="W377" i="10"/>
  <c r="U377" i="10"/>
  <c r="U381" i="10"/>
  <c r="W381" i="10"/>
  <c r="U382" i="10"/>
  <c r="W382" i="10"/>
  <c r="W383" i="10"/>
  <c r="U383" i="10"/>
  <c r="W402" i="10"/>
  <c r="U402" i="10"/>
  <c r="W407" i="10"/>
  <c r="U407" i="10"/>
  <c r="U413" i="10"/>
  <c r="W413" i="10"/>
  <c r="U325" i="10"/>
  <c r="W325" i="10"/>
  <c r="U338" i="10"/>
  <c r="W338" i="10"/>
  <c r="U347" i="10"/>
  <c r="W347" i="10"/>
  <c r="U363" i="10"/>
  <c r="W363" i="10"/>
  <c r="W364" i="10"/>
  <c r="U364" i="10"/>
  <c r="U365" i="10"/>
  <c r="W365" i="10"/>
  <c r="U371" i="10"/>
  <c r="W371" i="10"/>
  <c r="W372" i="10"/>
  <c r="U372" i="10"/>
  <c r="W385" i="10"/>
  <c r="U385" i="10"/>
  <c r="W399" i="10"/>
  <c r="U399" i="10"/>
  <c r="U310" i="10"/>
  <c r="W310" i="10"/>
  <c r="W312" i="10"/>
  <c r="U312" i="10"/>
  <c r="U326" i="10"/>
  <c r="W326" i="10"/>
  <c r="W330" i="10"/>
  <c r="W337" i="10"/>
  <c r="U337" i="10"/>
  <c r="U339" i="10"/>
  <c r="W339" i="10"/>
  <c r="W342" i="10"/>
  <c r="U342" i="10"/>
  <c r="W344" i="10"/>
  <c r="U344" i="10"/>
  <c r="U349" i="10"/>
  <c r="W349" i="10"/>
  <c r="W352" i="10"/>
  <c r="U352" i="10"/>
  <c r="U378" i="10"/>
  <c r="W378" i="10"/>
  <c r="W380" i="10"/>
  <c r="U380" i="10"/>
  <c r="W395" i="10"/>
  <c r="U395" i="10"/>
  <c r="U398" i="10"/>
  <c r="W398" i="10"/>
  <c r="W404" i="10"/>
  <c r="U404" i="10"/>
  <c r="W405" i="10"/>
  <c r="U405" i="10"/>
  <c r="W408" i="10"/>
  <c r="U408" i="10"/>
  <c r="U415" i="10"/>
  <c r="W417" i="10"/>
  <c r="U417" i="10"/>
  <c r="U440" i="10"/>
  <c r="W440" i="10"/>
  <c r="W442" i="10"/>
  <c r="U442" i="10"/>
  <c r="U445" i="10"/>
  <c r="W445" i="10"/>
  <c r="W446" i="10"/>
  <c r="U446" i="10"/>
  <c r="U448" i="10"/>
  <c r="W448" i="10"/>
  <c r="U450" i="10"/>
  <c r="W450" i="10"/>
  <c r="W451" i="10"/>
  <c r="U451" i="10"/>
  <c r="W452" i="10"/>
  <c r="U452" i="10"/>
  <c r="U453" i="10"/>
  <c r="W453" i="10"/>
  <c r="U454" i="10"/>
  <c r="W454" i="10"/>
  <c r="W455" i="10"/>
  <c r="U455" i="10"/>
  <c r="U458" i="10"/>
  <c r="W458" i="10"/>
  <c r="U467" i="10"/>
  <c r="W467" i="10"/>
  <c r="U504" i="10"/>
  <c r="W504" i="10"/>
  <c r="W511" i="10"/>
  <c r="U511" i="10"/>
  <c r="U527" i="10"/>
  <c r="W527" i="10"/>
  <c r="W422" i="10"/>
  <c r="U422" i="10"/>
  <c r="U424" i="10"/>
  <c r="W424" i="10"/>
  <c r="U457" i="10"/>
  <c r="W457" i="10"/>
  <c r="W461" i="10"/>
  <c r="U461" i="10"/>
  <c r="W464" i="10"/>
  <c r="U464" i="10"/>
  <c r="W465" i="10"/>
  <c r="U465" i="10"/>
  <c r="W470" i="10"/>
  <c r="U470" i="10"/>
  <c r="W480" i="10"/>
  <c r="U480" i="10"/>
  <c r="W485" i="10"/>
  <c r="U485" i="10"/>
  <c r="U507" i="10"/>
  <c r="W507" i="10"/>
  <c r="W509" i="10"/>
  <c r="U509" i="10"/>
  <c r="U401" i="10"/>
  <c r="W401" i="10"/>
  <c r="W414" i="10"/>
  <c r="W419" i="10"/>
  <c r="U419" i="10"/>
  <c r="U420" i="10"/>
  <c r="W420" i="10"/>
  <c r="W425" i="10"/>
  <c r="U425" i="10"/>
  <c r="U443" i="10"/>
  <c r="W443" i="10"/>
  <c r="W444" i="10"/>
  <c r="U444" i="10"/>
  <c r="U447" i="10"/>
  <c r="W447" i="10"/>
  <c r="W466" i="10"/>
  <c r="U466" i="10"/>
  <c r="U469" i="10"/>
  <c r="W469" i="10"/>
  <c r="U471" i="10"/>
  <c r="W471" i="10"/>
  <c r="U478" i="10"/>
  <c r="W478" i="10"/>
  <c r="U500" i="10"/>
  <c r="W500" i="10"/>
  <c r="W502" i="10"/>
  <c r="U502" i="10"/>
  <c r="W505" i="10"/>
  <c r="U505" i="10"/>
  <c r="W533" i="10"/>
  <c r="U533" i="10"/>
  <c r="U418" i="10"/>
  <c r="W418" i="10"/>
  <c r="W421" i="10"/>
  <c r="U421" i="10"/>
  <c r="W456" i="10"/>
  <c r="U456" i="10"/>
  <c r="U462" i="10"/>
  <c r="W462" i="10"/>
  <c r="W463" i="10"/>
  <c r="U463" i="10"/>
  <c r="U476" i="10"/>
  <c r="W476" i="10"/>
  <c r="W479" i="10"/>
  <c r="U479" i="10"/>
  <c r="W483" i="10"/>
  <c r="U483" i="10"/>
  <c r="W495" i="10"/>
  <c r="U495" i="10"/>
  <c r="W497" i="10"/>
  <c r="U497" i="10"/>
  <c r="W498" i="10"/>
  <c r="U498" i="10"/>
  <c r="U532" i="10"/>
  <c r="W532" i="10"/>
  <c r="U473" i="10"/>
  <c r="W535" i="10"/>
  <c r="U535" i="10"/>
  <c r="W541" i="10"/>
  <c r="U541" i="10"/>
  <c r="U554" i="10"/>
  <c r="W554" i="10"/>
  <c r="W576" i="10"/>
  <c r="U576" i="10"/>
  <c r="W577" i="10"/>
  <c r="U577" i="10"/>
  <c r="W585" i="10"/>
  <c r="U585" i="10"/>
  <c r="W586" i="10"/>
  <c r="U586" i="10"/>
  <c r="W593" i="10"/>
  <c r="U593" i="10"/>
  <c r="W608" i="10"/>
  <c r="U608" i="10"/>
  <c r="U609" i="10"/>
  <c r="W609" i="10"/>
  <c r="W519" i="10"/>
  <c r="U519" i="10"/>
  <c r="U536" i="10"/>
  <c r="W536" i="10"/>
  <c r="W544" i="10"/>
  <c r="U544" i="10"/>
  <c r="W557" i="10"/>
  <c r="U557" i="10"/>
  <c r="U575" i="10"/>
  <c r="W575" i="10"/>
  <c r="U578" i="10"/>
  <c r="W578" i="10"/>
  <c r="U584" i="10"/>
  <c r="W584" i="10"/>
  <c r="U587" i="10"/>
  <c r="W587" i="10"/>
  <c r="U592" i="10"/>
  <c r="W592" i="10"/>
  <c r="U597" i="10"/>
  <c r="W597" i="10"/>
  <c r="U600" i="10"/>
  <c r="W600" i="10"/>
  <c r="U601" i="10"/>
  <c r="W601" i="10"/>
  <c r="W612" i="10"/>
  <c r="U612" i="10"/>
  <c r="W616" i="10"/>
  <c r="U616" i="10"/>
  <c r="W489" i="10"/>
  <c r="W491" i="10"/>
  <c r="W501" i="10"/>
  <c r="W508" i="10"/>
  <c r="W528" i="10"/>
  <c r="W539" i="10"/>
  <c r="U539" i="10"/>
  <c r="U542" i="10"/>
  <c r="W542" i="10"/>
  <c r="W581" i="10"/>
  <c r="U581" i="10"/>
  <c r="W582" i="10"/>
  <c r="U582" i="10"/>
  <c r="W589" i="10"/>
  <c r="U589" i="10"/>
  <c r="W590" i="10"/>
  <c r="U590" i="10"/>
  <c r="U490" i="10"/>
  <c r="W490" i="10"/>
  <c r="U492" i="10"/>
  <c r="W492" i="10"/>
  <c r="U499" i="10"/>
  <c r="U506" i="10"/>
  <c r="U538" i="10"/>
  <c r="W538" i="10"/>
  <c r="W540" i="10"/>
  <c r="U540" i="10"/>
  <c r="W546" i="10"/>
  <c r="U546" i="10"/>
  <c r="U556" i="10"/>
  <c r="W556" i="10"/>
  <c r="U574" i="10"/>
  <c r="W574" i="10"/>
  <c r="U580" i="10"/>
  <c r="W580" i="10"/>
  <c r="U583" i="10"/>
  <c r="W583" i="10"/>
  <c r="U588" i="10"/>
  <c r="W588" i="10"/>
  <c r="U591" i="10"/>
  <c r="W591" i="10"/>
  <c r="U598" i="10"/>
  <c r="W598" i="10"/>
  <c r="U599" i="10"/>
  <c r="W599" i="10"/>
  <c r="U602" i="10"/>
  <c r="W602" i="10"/>
  <c r="W604" i="10"/>
  <c r="U604" i="10"/>
  <c r="W605" i="10"/>
  <c r="U605" i="10"/>
  <c r="U618" i="10"/>
  <c r="W620" i="10"/>
  <c r="U620" i="10"/>
  <c r="W625" i="10"/>
  <c r="U625" i="10"/>
  <c r="W626" i="10"/>
  <c r="U626" i="10"/>
  <c r="W628" i="10"/>
  <c r="U628" i="10"/>
  <c r="W631" i="10"/>
  <c r="U631" i="10"/>
  <c r="W632" i="10"/>
  <c r="U632" i="10"/>
  <c r="W634" i="10"/>
  <c r="U634" i="10"/>
  <c r="W635" i="10"/>
  <c r="U635" i="10"/>
  <c r="W639" i="10"/>
  <c r="U639" i="10"/>
  <c r="W640" i="10"/>
  <c r="U640" i="10"/>
  <c r="U643" i="10"/>
  <c r="W643" i="10"/>
  <c r="U657" i="10"/>
  <c r="W657" i="10"/>
  <c r="W670" i="10"/>
  <c r="U670" i="10"/>
  <c r="U672" i="10"/>
  <c r="W672" i="10"/>
  <c r="U607" i="10"/>
  <c r="U611" i="10"/>
  <c r="U623" i="10"/>
  <c r="W623" i="10"/>
  <c r="W624" i="10"/>
  <c r="U624" i="10"/>
  <c r="W629" i="10"/>
  <c r="U629" i="10"/>
  <c r="U630" i="10"/>
  <c r="W630" i="10"/>
  <c r="W633" i="10"/>
  <c r="U633" i="10"/>
  <c r="U637" i="10"/>
  <c r="W637" i="10"/>
  <c r="U638" i="10"/>
  <c r="W638" i="10"/>
  <c r="U641" i="10"/>
  <c r="W641" i="10"/>
  <c r="U642" i="10"/>
  <c r="W642" i="10"/>
  <c r="W654" i="10"/>
  <c r="U654" i="10"/>
  <c r="U655" i="10"/>
  <c r="W655" i="10"/>
  <c r="U553" i="10"/>
  <c r="U555" i="10"/>
  <c r="U558" i="10"/>
  <c r="U606" i="10"/>
  <c r="U610" i="10"/>
  <c r="U619" i="10"/>
  <c r="W619" i="10"/>
  <c r="U621" i="10"/>
  <c r="W621" i="10"/>
  <c r="W645" i="10"/>
  <c r="U645" i="10"/>
  <c r="W649" i="10"/>
  <c r="U649" i="10"/>
  <c r="U652" i="10"/>
  <c r="W652" i="10"/>
  <c r="W660" i="10"/>
  <c r="U660" i="10"/>
  <c r="W661" i="10"/>
  <c r="U661" i="10"/>
  <c r="W662" i="10"/>
  <c r="U662" i="10"/>
  <c r="W663" i="10"/>
  <c r="U663" i="10"/>
  <c r="W664" i="10"/>
  <c r="U664" i="10"/>
  <c r="W665" i="10"/>
  <c r="U665" i="10"/>
  <c r="U666" i="10"/>
  <c r="W666" i="10"/>
  <c r="W617" i="10"/>
  <c r="U617" i="10"/>
  <c r="U647" i="10"/>
  <c r="W647" i="10"/>
  <c r="U648" i="10"/>
  <c r="W648" i="10"/>
  <c r="W650" i="10"/>
  <c r="U650" i="10"/>
  <c r="U651" i="10"/>
  <c r="W651" i="10"/>
  <c r="U644" i="10"/>
  <c r="U668" i="10"/>
  <c r="W668" i="10"/>
  <c r="W677" i="10"/>
  <c r="U677" i="10"/>
  <c r="W678" i="10"/>
  <c r="U678" i="10"/>
  <c r="W679" i="10"/>
  <c r="U679" i="10"/>
  <c r="W680" i="10"/>
  <c r="U680" i="10"/>
  <c r="U681" i="10"/>
  <c r="W681" i="10"/>
  <c r="W685" i="10"/>
  <c r="U685" i="10"/>
  <c r="W697" i="10"/>
  <c r="U697" i="10"/>
  <c r="W698" i="10"/>
  <c r="U698" i="10"/>
  <c r="U707" i="10"/>
  <c r="W707" i="10"/>
  <c r="W711" i="10"/>
  <c r="U711" i="10"/>
  <c r="W715" i="10"/>
  <c r="U715" i="10"/>
  <c r="W721" i="10"/>
  <c r="U721" i="10"/>
  <c r="U722" i="10"/>
  <c r="W722" i="10"/>
  <c r="W724" i="10"/>
  <c r="U724" i="10"/>
  <c r="U734" i="10"/>
  <c r="W734" i="10"/>
  <c r="W736" i="10"/>
  <c r="U736" i="10"/>
  <c r="W743" i="10"/>
  <c r="U743" i="10"/>
  <c r="W744" i="10"/>
  <c r="U744" i="10"/>
  <c r="U659" i="10"/>
  <c r="W686" i="10"/>
  <c r="U686" i="10"/>
  <c r="U687" i="10"/>
  <c r="W687" i="10"/>
  <c r="U696" i="10"/>
  <c r="W696" i="10"/>
  <c r="W699" i="10"/>
  <c r="U699" i="10"/>
  <c r="U712" i="10"/>
  <c r="W712" i="10"/>
  <c r="W725" i="10"/>
  <c r="U725" i="10"/>
  <c r="W741" i="10"/>
  <c r="U741" i="10"/>
  <c r="U653" i="10"/>
  <c r="W667" i="10"/>
  <c r="U684" i="10"/>
  <c r="W684" i="10"/>
  <c r="W693" i="10"/>
  <c r="U693" i="10"/>
  <c r="W694" i="10"/>
  <c r="U694" i="10"/>
  <c r="U716" i="10"/>
  <c r="W716" i="10"/>
  <c r="U740" i="10"/>
  <c r="W740" i="10"/>
  <c r="U669" i="10"/>
  <c r="U682" i="10"/>
  <c r="W682" i="10"/>
  <c r="W690" i="10"/>
  <c r="U690" i="10"/>
  <c r="W691" i="10"/>
  <c r="U691" i="10"/>
  <c r="U692" i="10"/>
  <c r="W692" i="10"/>
  <c r="W695" i="10"/>
  <c r="U695" i="10"/>
  <c r="U702" i="10"/>
  <c r="W702" i="10"/>
  <c r="W706" i="10"/>
  <c r="U706" i="10"/>
  <c r="U717" i="10"/>
  <c r="W717" i="10"/>
  <c r="W720" i="10"/>
  <c r="U720" i="10"/>
  <c r="U726" i="10"/>
  <c r="W726" i="10"/>
  <c r="U738" i="10"/>
  <c r="W738" i="10"/>
  <c r="U739" i="10"/>
  <c r="W739" i="10"/>
  <c r="U705" i="10"/>
  <c r="W709" i="10"/>
  <c r="U710" i="10"/>
  <c r="W761" i="10"/>
  <c r="U761" i="10"/>
  <c r="U737" i="10"/>
  <c r="W742" i="10"/>
  <c r="W763" i="10"/>
  <c r="U763" i="10"/>
  <c r="W769" i="10"/>
  <c r="U769" i="10"/>
  <c r="W723" i="10"/>
  <c r="U735" i="10"/>
  <c r="W762" i="10"/>
  <c r="U762" i="10"/>
  <c r="U771" i="10"/>
  <c r="W771" i="10"/>
  <c r="W765" i="10"/>
  <c r="U765" i="10"/>
  <c r="U766" i="10"/>
  <c r="W766" i="10"/>
  <c r="W759" i="10"/>
  <c r="U759" i="10"/>
  <c r="W768" i="10"/>
</calcChain>
</file>

<file path=xl/sharedStrings.xml><?xml version="1.0" encoding="utf-8"?>
<sst xmlns="http://schemas.openxmlformats.org/spreadsheetml/2006/main" count="1502" uniqueCount="1023">
  <si>
    <t>- обеспеченности по критериям заказчика по 1 метеоэлементу, 1 критерию</t>
  </si>
  <si>
    <t>- повторяемости метеоэлементов за различные периоды по 1 метеоэлементу, 1 периоду</t>
  </si>
  <si>
    <t>1.2.2.12</t>
  </si>
  <si>
    <t>1.2.2.14</t>
  </si>
  <si>
    <t>1.2.2.18</t>
  </si>
  <si>
    <t>1.2.2.37</t>
  </si>
  <si>
    <t>1.2.2.38</t>
  </si>
  <si>
    <t>1.2.2.39</t>
  </si>
  <si>
    <t>1.2.2.40</t>
  </si>
  <si>
    <t>1.2.2.41</t>
  </si>
  <si>
    <t>1.2.2.42</t>
  </si>
  <si>
    <t>1.2.2.43</t>
  </si>
  <si>
    <t>1.2.2.48</t>
  </si>
  <si>
    <t>1.2.2.54</t>
  </si>
  <si>
    <t>1.2.2.55</t>
  </si>
  <si>
    <t>1.2.2.56</t>
  </si>
  <si>
    <t>1.1.11</t>
  </si>
  <si>
    <t>Информационно-аналитические материалы по гидрометеорологической обстановке и развитию ситуации с комментарием специалиста (1 выступление)</t>
  </si>
  <si>
    <t>Аналитическая информация (справка) о загрязнении атмосферного воздуха в отдельном районе города за 1 месяц (год) одним загрязняющим веществом:</t>
  </si>
  <si>
    <t>- по набору характеристик</t>
  </si>
  <si>
    <t>Аналитическая информация (справка)  о радиационном загрязнении атмосферного воздуха по одному пункту за 1 месяц (год) по данным измерений:</t>
  </si>
  <si>
    <t>- радиоактивности приземного слоя атмосферы</t>
  </si>
  <si>
    <t xml:space="preserve">- сумарной бета-активности атмосферных выпадений </t>
  </si>
  <si>
    <t xml:space="preserve">- загрязнения атмосферы на территории города, области, республики. </t>
  </si>
  <si>
    <t>- качества воды водных объектов</t>
  </si>
  <si>
    <t>- по загрязнению почвы на территории города, области, республики.</t>
  </si>
  <si>
    <t>- состояния радиоактивного загрязнения объектов окружающей среды</t>
  </si>
  <si>
    <t>- температура</t>
  </si>
  <si>
    <t>- сухой остаток</t>
  </si>
  <si>
    <t>- цветность (прозрачность)</t>
  </si>
  <si>
    <t>- общая минерализация</t>
  </si>
  <si>
    <t>3.2. АНАЛИТИЧЕСКАЯ И РЕЖИМНО-СПРАВОЧНАЯ ИНФОРМАЦИЯ</t>
  </si>
  <si>
    <t>- в срок наблюдений</t>
  </si>
  <si>
    <t>- средний за месяц</t>
  </si>
  <si>
    <t>- средний за год</t>
  </si>
  <si>
    <t>- средний за многолетний период</t>
  </si>
  <si>
    <t>Интенсивность осадков(мм/час): за 1 цикл обзора - 10 минут (слайд)</t>
  </si>
  <si>
    <t>Высота верхней границы облачности: за 1 цикл обзора - 10 минут (слайд)</t>
  </si>
  <si>
    <t>Вертикальный разрез облачности: за 1 цикл обзора - 10 минут (слайд)</t>
  </si>
  <si>
    <t>Дата устойчивого прогрева почвы на глубине 5 и 10 см  до 5º, 10º, 15ºС.</t>
  </si>
  <si>
    <t>Концентрации основных примесей:</t>
  </si>
  <si>
    <t>Концентрации специфических примесей:</t>
  </si>
  <si>
    <t>Число ОЯ за год (по одному виду явлений)</t>
  </si>
  <si>
    <t xml:space="preserve">Цена единицы информации 2013г.           (руб.) </t>
  </si>
  <si>
    <t xml:space="preserve">Предупреждение о высоком уровне загрязнения воздуха и НМУ </t>
  </si>
  <si>
    <t>1.2.1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</si>
  <si>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</si>
  <si>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</si>
  <si>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</si>
  <si>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</si>
  <si>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</si>
  <si>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</si>
  <si>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</si>
  <si>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</si>
  <si>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 xml:space="preserve">Расчет показателя горимости леса: </t>
  </si>
  <si>
    <t>1.1.9</t>
  </si>
  <si>
    <t>1.1.10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</si>
  <si>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</si>
  <si>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</si>
  <si>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</si>
  <si>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</si>
  <si>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</si>
  <si>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</si>
  <si>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</si>
  <si>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</si>
  <si>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</si>
  <si>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</si>
  <si>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1.2.2.13</t>
  </si>
  <si>
    <t>1.2.2.15</t>
  </si>
  <si>
    <t>- 2-3 сутки</t>
  </si>
  <si>
    <t>- среднегодовая повторяемость превышения которой составляет 5%</t>
  </si>
  <si>
    <t>Расчет:</t>
  </si>
  <si>
    <t xml:space="preserve">Максимальная (минимальная) температура на поверхности почвы за: </t>
  </si>
  <si>
    <t>- за месяц  максимальная (минимальная), средняя</t>
  </si>
  <si>
    <t>- за год максимальная (минимальная), средняя</t>
  </si>
  <si>
    <t>Средняя (максимальная):</t>
  </si>
  <si>
    <t>- интенсивность осадков за месяц</t>
  </si>
  <si>
    <t>- продолжительность осадков за месяц</t>
  </si>
  <si>
    <t>- продолжительность осадков за год</t>
  </si>
  <si>
    <t>Число дней без осадков(с осадками) за:</t>
  </si>
  <si>
    <t>Продолжительность явления за:</t>
  </si>
  <si>
    <t>- средняя, максимальная (минимальная) за декаду</t>
  </si>
  <si>
    <t>- средняя, максимальная (минимальная) за месяц</t>
  </si>
  <si>
    <t>- средняя, максимальная (минимальная) за год</t>
  </si>
  <si>
    <t>Сведения о гололедно-изморозевых явлениях за зиму по одному виду:</t>
  </si>
  <si>
    <t>- количество</t>
  </si>
  <si>
    <t xml:space="preserve">- продолжительность </t>
  </si>
  <si>
    <t xml:space="preserve">- величина </t>
  </si>
  <si>
    <t xml:space="preserve">Данные о датах установления снежного покрова и его сходе </t>
  </si>
  <si>
    <t>Число дней с морозом на поверхности почвы    за год</t>
  </si>
  <si>
    <t>- оповещение о начале атмосферного явления (гроза, туман и др.явления)</t>
  </si>
  <si>
    <t xml:space="preserve">Расход воды:                             </t>
  </si>
  <si>
    <t>1.2.2.16</t>
  </si>
  <si>
    <t>1.2.2.30</t>
  </si>
  <si>
    <t>1.2.2.31</t>
  </si>
  <si>
    <t>1.2.2.32</t>
  </si>
  <si>
    <t>1.2.2.33</t>
  </si>
  <si>
    <t>1.2.2.34</t>
  </si>
  <si>
    <t>1.2.2.35</t>
  </si>
  <si>
    <t>1.2.2.36</t>
  </si>
  <si>
    <t>1.2.2.44</t>
  </si>
  <si>
    <t>1.2.2.45</t>
  </si>
  <si>
    <t>1.2.2.46</t>
  </si>
  <si>
    <t>1.2.2.47</t>
  </si>
  <si>
    <t>1.2.2.50</t>
  </si>
  <si>
    <t>1.2.2.51</t>
  </si>
  <si>
    <t>1.2.2.52</t>
  </si>
  <si>
    <t>к-т на 2012г.</t>
  </si>
  <si>
    <t>1.2.2.53</t>
  </si>
  <si>
    <t>2.1.1</t>
  </si>
  <si>
    <t>2.1.1.1</t>
  </si>
  <si>
    <t>2.1.1.2</t>
  </si>
  <si>
    <t>Абсолютные значения максимальной и минимальной температуры воздуха</t>
  </si>
  <si>
    <t>Прирост наземной биомассы трав  -1 пункт наблюдений, 1 срок</t>
  </si>
  <si>
    <t>Аналитический обзор:</t>
  </si>
  <si>
    <r>
      <t xml:space="preserve">Информация о состоянии </t>
    </r>
    <r>
      <rPr>
        <b/>
        <sz val="11"/>
        <rFont val="Times New Roman"/>
        <family val="1"/>
        <charset val="204"/>
      </rPr>
      <t>радиоактивного загрязнения</t>
    </r>
    <r>
      <rPr>
        <sz val="11"/>
        <rFont val="Times New Roman"/>
        <family val="1"/>
        <charset val="204"/>
      </rPr>
      <t xml:space="preserve"> объектов окружающей среды, полученная на основании </t>
    </r>
    <r>
      <rPr>
        <u/>
        <sz val="11"/>
        <rFont val="Times New Roman"/>
        <family val="1"/>
        <charset val="204"/>
      </rPr>
      <t>данных наблюдений</t>
    </r>
    <r>
      <rPr>
        <sz val="11"/>
        <rFont val="Times New Roman"/>
        <family val="1"/>
        <charset val="204"/>
      </rPr>
      <t xml:space="preserve"> по запросу Заказчика - 1 пункт, 1 срок, 1 показатель:</t>
    </r>
  </si>
  <si>
    <t xml:space="preserve">Значение МЭД за сутки по данным МС </t>
  </si>
  <si>
    <t>257.90</t>
  </si>
  <si>
    <t>Отбор суточной пробы аэрозолей с помощью воздухофильтрующей установки</t>
  </si>
  <si>
    <t>1606.00</t>
  </si>
  <si>
    <t>Отбор суточной пробы выпадений,  отобранной с помощью горизонтального планшета</t>
  </si>
  <si>
    <t>845.63</t>
  </si>
  <si>
    <t>Подготовка и измерение суммарной бета-активности суточных проб аэрозолей или  выпадений</t>
  </si>
  <si>
    <t>1239.85</t>
  </si>
  <si>
    <t>Просмотр суточных или пентадных проб аэрозолей и выпадений на гамма-спектрометре</t>
  </si>
  <si>
    <t>914.30</t>
  </si>
  <si>
    <t>Гамма-спектрометрический анализ месячных проб аэрозолей или выпадений</t>
  </si>
  <si>
    <t>3815.83</t>
  </si>
  <si>
    <t>Обследование территорий жилых и промышленных зон, участков застройки с выездом на место :</t>
  </si>
  <si>
    <t>4.3.8.1</t>
  </si>
  <si>
    <t xml:space="preserve">- Определение местоположения  точки замера на местности, нанесение ее на карту, измерение мощности дозы гамма-излучения на расстоянии 1.0 м от поверхности земли (не менее 3 замеров), оформление записи результатов в полевой журнал
</t>
  </si>
  <si>
    <t>1212.9</t>
  </si>
  <si>
    <t>4.3.8.2</t>
  </si>
  <si>
    <t>Определение местоположения точки отбора на местности, измерение мощности дозы гамма-излучения на расстоянии 1.0 м от поверхности земли, отбор и упаковка монолитной пробы почвы с оформлением необходимой документации</t>
  </si>
  <si>
    <t>2303.11</t>
  </si>
  <si>
    <t>4.3.8.3.</t>
  </si>
  <si>
    <t>4.3.8.4</t>
  </si>
  <si>
    <t>4.3.8.5</t>
  </si>
  <si>
    <t>955.00</t>
  </si>
  <si>
    <t xml:space="preserve">состояния озимых и многолетних трав зимой </t>
  </si>
  <si>
    <t xml:space="preserve">состояния перезимовки плодово-ягодных культур </t>
  </si>
  <si>
    <t>по результам осеннего обследования озимых  -1пункт наблюдений, 1 культура</t>
  </si>
  <si>
    <t>по результам весеннего обследования озимых и многолетних трав  -1 пункт наблюдений, 1культура</t>
  </si>
  <si>
    <t xml:space="preserve">Специализированный декадный агрометбюллетень: </t>
  </si>
  <si>
    <t xml:space="preserve">- по 1субъекту РФ </t>
  </si>
  <si>
    <t>Специализированная декадная агрометинформация по форме ТСХ-8:</t>
  </si>
  <si>
    <t xml:space="preserve">- по 1 субъекту РФ </t>
  </si>
  <si>
    <t>Аналитический агрометеорологический обзор:</t>
  </si>
  <si>
    <t>- за сельскохозяйственный год по 1 субъекту РФ</t>
  </si>
  <si>
    <t>2.1.1.14</t>
  </si>
  <si>
    <t>Предупреждения о весенних и ранних осенних заморозках</t>
  </si>
  <si>
    <t>- о фактическом увлажнении почвы под озимыми зерновыми и на полях с посевами ранних яровых зерновых -1 пункт наблюдений, 1 культура</t>
  </si>
  <si>
    <t xml:space="preserve">- неблагоприятных условий для развития сельскохозяйственных культур за вегетационный период - 1 пункт наблюдений, 1 культура </t>
  </si>
  <si>
    <t>- колебания уровня воды</t>
  </si>
  <si>
    <t>1557</t>
  </si>
  <si>
    <t>1,1</t>
  </si>
  <si>
    <t>к-т на 2013г.</t>
  </si>
  <si>
    <t>Цена единицы информации 2012г.           (руб.)</t>
  </si>
  <si>
    <t xml:space="preserve">- средняя многолетняя дата </t>
  </si>
  <si>
    <t>введена</t>
  </si>
  <si>
    <t>- уклон водной поверхности</t>
  </si>
  <si>
    <t>- измеренный расход взвешенных наносов</t>
  </si>
  <si>
    <t>- гранулометрический состав взвешенных наносов</t>
  </si>
  <si>
    <t>- гранулометрический состав донных отложений</t>
  </si>
  <si>
    <t>- высший  1% , 3%, 10% обеспеченности</t>
  </si>
  <si>
    <t xml:space="preserve"> Уровень воды в реке( водохранилище):                                         </t>
  </si>
  <si>
    <t>- слой стока за половодье за год</t>
  </si>
  <si>
    <t>- испарение с водной поверхности за месяц</t>
  </si>
  <si>
    <t>- испарение с водной поверхности среднее за месяц за многолетний период</t>
  </si>
  <si>
    <t>- по сезонам за многолетний период</t>
  </si>
  <si>
    <t>- дата перехода температуры воды через 0°, 2° 4°и 10° весной, осенью</t>
  </si>
  <si>
    <t>- продолжительность ледостава</t>
  </si>
  <si>
    <t>увеличена</t>
  </si>
  <si>
    <t>- средняя за год  за многолетний период</t>
  </si>
  <si>
    <t xml:space="preserve">- максимальная глубина 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</si>
  <si>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</si>
  <si>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</si>
  <si>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</si>
  <si>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</si>
  <si>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</si>
  <si>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</si>
  <si>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</si>
  <si>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</si>
  <si>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 xml:space="preserve">- измеренный </t>
  </si>
  <si>
    <t xml:space="preserve">Цена единицы информации 2011г.           (руб.) </t>
  </si>
  <si>
    <t xml:space="preserve">- наименьший 95% обеспеченности </t>
  </si>
  <si>
    <t>- наименьший 95% обеспеченности (расчетный)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</si>
  <si>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</si>
  <si>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</si>
  <si>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</si>
  <si>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</si>
  <si>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</si>
  <si>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</si>
  <si>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</si>
  <si>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</si>
  <si>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</si>
  <si>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</si>
  <si>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</si>
  <si>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2.2.1</t>
  </si>
  <si>
    <t>2.2.1.1</t>
  </si>
  <si>
    <t>2.2.1.2</t>
  </si>
  <si>
    <t>2.2.1.3</t>
  </si>
  <si>
    <t>1.2.2</t>
  </si>
  <si>
    <t>Расчет продолжительности безморозного периода в воздухе</t>
  </si>
  <si>
    <t>Расчет сумм положительных (эффективных) температур воздуха за период со средней суточной температурой выше 0º, 5º, 10º, 15ºС.</t>
  </si>
  <si>
    <t>Ожидаемого состояния многолетних сеяных трав к возобновлению вегетации весной :</t>
  </si>
  <si>
    <t xml:space="preserve">Ожидаемого состояния озимых зерновых культур к возобновлению вегетации весной: </t>
  </si>
  <si>
    <t>6.1</t>
  </si>
  <si>
    <t>6.1.1</t>
  </si>
  <si>
    <t>6.1.2</t>
  </si>
  <si>
    <t>6.1.3</t>
  </si>
  <si>
    <t>6.1.4</t>
  </si>
  <si>
    <t>6.2</t>
  </si>
  <si>
    <t>6.2.1</t>
  </si>
  <si>
    <t xml:space="preserve">- средняя глубина </t>
  </si>
  <si>
    <t xml:space="preserve">- средняя скорость течения </t>
  </si>
  <si>
    <t>на предоставление специализированной информации</t>
  </si>
  <si>
    <t>о состоянии окружающей среды, ее загрязнении</t>
  </si>
  <si>
    <t>1.2.2.17</t>
  </si>
  <si>
    <t>1.2.2.19</t>
  </si>
  <si>
    <t>1.2.2.20</t>
  </si>
  <si>
    <t>1.2.2.21</t>
  </si>
  <si>
    <t>1.2.2.22</t>
  </si>
  <si>
    <t>1.2.2.23</t>
  </si>
  <si>
    <t>1.2.2.24</t>
  </si>
  <si>
    <t>1.2.2.26</t>
  </si>
  <si>
    <t>1.2.2.27</t>
  </si>
  <si>
    <t>1.2.2.28</t>
  </si>
  <si>
    <t>Расчет фоновых концентраций в атмосферном воздухе:</t>
  </si>
  <si>
    <t>Специализированный прогноз  среднесуточной температуры воздуха и количества осадков на 4 -  5  сутки  по территории субъекта РФ</t>
  </si>
  <si>
    <t>Расчет фоновых концентраций в почве:</t>
  </si>
  <si>
    <t>не продавалась</t>
  </si>
  <si>
    <t>1.2.2.29</t>
  </si>
  <si>
    <t xml:space="preserve">Назначение створов и периодичности гидрохимических наблюдений                                                                                                                                                                                                    </t>
  </si>
  <si>
    <t>4.3.1</t>
  </si>
  <si>
    <t>4.3.1.1</t>
  </si>
  <si>
    <t>4.3.2</t>
  </si>
  <si>
    <t>4.3.2.1</t>
  </si>
  <si>
    <t>4.3.1.2</t>
  </si>
  <si>
    <t>4.3.1.3</t>
  </si>
  <si>
    <t>4.3.1.4</t>
  </si>
  <si>
    <t>4.3.2.2</t>
  </si>
  <si>
    <t>4.3.2.3</t>
  </si>
  <si>
    <t>4.3.2.4</t>
  </si>
  <si>
    <t>4.3.2.5</t>
  </si>
  <si>
    <t>4.3.2.6</t>
  </si>
  <si>
    <t>4.3.2.7</t>
  </si>
  <si>
    <t>4.3.2.8</t>
  </si>
  <si>
    <t>4.3.3</t>
  </si>
  <si>
    <t>4.3.3.1</t>
  </si>
  <si>
    <t>4.3.3.3</t>
  </si>
  <si>
    <t>4.3.3.4</t>
  </si>
  <si>
    <t>4.3.4</t>
  </si>
  <si>
    <t>4.3.4.1</t>
  </si>
  <si>
    <t>4.3.5</t>
  </si>
  <si>
    <t>4.3.5.1</t>
  </si>
  <si>
    <t>4.3.6</t>
  </si>
  <si>
    <t>4.3.6.1</t>
  </si>
  <si>
    <t>продано</t>
  </si>
  <si>
    <t xml:space="preserve"> продано</t>
  </si>
  <si>
    <t>не индекс</t>
  </si>
  <si>
    <t>4.3.6.2</t>
  </si>
  <si>
    <t>4.3.7</t>
  </si>
  <si>
    <t>4.3.7.1</t>
  </si>
  <si>
    <t>4.3.7.2</t>
  </si>
  <si>
    <t>4.3.7.3</t>
  </si>
  <si>
    <t>4.3.7.4</t>
  </si>
  <si>
    <t>4.3.7.5</t>
  </si>
  <si>
    <t>4.3.7.6</t>
  </si>
  <si>
    <t>Ароматические и циклические углеводороды:</t>
  </si>
  <si>
    <t>Дата первого и последнего заморозка разной интенсивности (весной или осенью) на поверхности почвы для разных значений температуры (0º, -0º, -1º,-2º, -3º, -4º, -5ºС.)</t>
  </si>
  <si>
    <t>Число случаев (по градациям Заказчика) скоростей ветра за год</t>
  </si>
  <si>
    <t>Запасов влаги в почве на начало весны</t>
  </si>
  <si>
    <t>Сроков схода снежного покрова и начала полевых работ</t>
  </si>
  <si>
    <t xml:space="preserve">Сроков сева теплолюбивых зерновых и овощных культур </t>
  </si>
  <si>
    <t xml:space="preserve">Сроков цветения и уборки сеяных и естественных трав </t>
  </si>
  <si>
    <t>Сроков созревания ранних яровых зерновых культур</t>
  </si>
  <si>
    <t>90%от п.4.1.1</t>
  </si>
  <si>
    <t>Оформление справок о фоновых концентрациях загрязняющих веществ</t>
  </si>
  <si>
    <t>Агрометусловий и сроков сева озимых зерновых культур</t>
  </si>
  <si>
    <t>было в 2009г.</t>
  </si>
  <si>
    <t xml:space="preserve">- на глубине залегания узла кущения озимых зерновых (3см) или корневой шейки многолетних трав </t>
  </si>
  <si>
    <t>- на глубине залегания узла кущения озимых зерновых (3см) или корневой шейки многолетних трав (максимальная, минимальная)</t>
  </si>
  <si>
    <t>- за сутки</t>
  </si>
  <si>
    <t>Относительная влажность воздуха:</t>
  </si>
  <si>
    <t>Количество облаков:</t>
  </si>
  <si>
    <t>- среднемесячное</t>
  </si>
  <si>
    <t>- среднегодовое</t>
  </si>
  <si>
    <t>Суточный ход:</t>
  </si>
  <si>
    <t>- облачности (кол-во и форма)</t>
  </si>
  <si>
    <t>- высоты нижней границы облаков</t>
  </si>
  <si>
    <t>- видимости</t>
  </si>
  <si>
    <t>Температура почвы  на глубинах по 1 глубине:</t>
  </si>
  <si>
    <t xml:space="preserve">- под естественным покровом – средняя за год </t>
  </si>
  <si>
    <t xml:space="preserve">- под естественным покровом – средняя за месяц </t>
  </si>
  <si>
    <t>- 5, 10, 15, 20см  средняя за декаду по глубине</t>
  </si>
  <si>
    <t>Число дней с осадками (в градациях Заказчика) по 1 градации за:</t>
  </si>
  <si>
    <t xml:space="preserve">Среднее парциальное давление водяного пара за:                          </t>
  </si>
  <si>
    <t>Дефицит насыщения:</t>
  </si>
  <si>
    <t>Высота снежного покрова:</t>
  </si>
  <si>
    <t>Средней областной урожайности и валового сбора сена многолетних и однолетних сеяных и естественных трав</t>
  </si>
  <si>
    <t>3.1.1</t>
  </si>
  <si>
    <t>3.1.2</t>
  </si>
  <si>
    <t>3.2.1</t>
  </si>
  <si>
    <t>3.2.1.1</t>
  </si>
  <si>
    <t>- высший  1% обеспеченности</t>
  </si>
  <si>
    <t>- низший   95% обеспеченности</t>
  </si>
  <si>
    <t>- средняя за сутки</t>
  </si>
  <si>
    <t>- средняя за месяц</t>
  </si>
  <si>
    <t>-хлористый водород</t>
  </si>
  <si>
    <t>-полихлорбифенилы (СОЗ)</t>
  </si>
  <si>
    <t>- средняя  за год</t>
  </si>
  <si>
    <t>- средний за сутки</t>
  </si>
  <si>
    <t>- средний  за год</t>
  </si>
  <si>
    <t xml:space="preserve">Температура воды в реке ( водохранилище): </t>
  </si>
  <si>
    <t>- высший (низший) за год (весеннего половодья или ледохода, зимнего или летнего периода)</t>
  </si>
  <si>
    <t>- высший (низший) за многолетний период</t>
  </si>
  <si>
    <t>- наибольший (наименьший) за год (весеннего половодья, зимнего или летнего периода)</t>
  </si>
  <si>
    <t>- наибольшая (наименьшая)  за месяц</t>
  </si>
  <si>
    <t>- наибольшая (наименьшая)  за год</t>
  </si>
  <si>
    <t>- наибольшая (наименьшая)  за многолетний период</t>
  </si>
  <si>
    <t>- наибольший (наименьший)  за месяц</t>
  </si>
  <si>
    <t>- наибольший (наименьший)  за год</t>
  </si>
  <si>
    <t>- наибольший (наименьший)  за многолетний период</t>
  </si>
  <si>
    <t xml:space="preserve">- в срок наблюдений </t>
  </si>
  <si>
    <t>- средняя у берега за сутки</t>
  </si>
  <si>
    <t>- средняя у берега за декаду</t>
  </si>
  <si>
    <t>- средняя у берега за месяц</t>
  </si>
  <si>
    <t>- высшая за год</t>
  </si>
  <si>
    <t>- высшая за многолетний период</t>
  </si>
  <si>
    <t>- наибольшая за многолетний период</t>
  </si>
  <si>
    <t xml:space="preserve">Ледовые явления на реке (водохранилище): </t>
  </si>
  <si>
    <t>- продолжительность осенних (весенних) ледовых явлений</t>
  </si>
  <si>
    <t xml:space="preserve">Толщина льда и высота снега на льду: </t>
  </si>
  <si>
    <t>- дата, уровень и продолжительность затора, зажора</t>
  </si>
  <si>
    <t>- длина</t>
  </si>
  <si>
    <t>- площадь водосбора</t>
  </si>
  <si>
    <t>- извилистость</t>
  </si>
  <si>
    <t>- средний уклон</t>
  </si>
  <si>
    <t>- средневзвешенный уклон водосбора</t>
  </si>
  <si>
    <t>- средняя высота водосбора</t>
  </si>
  <si>
    <t>- озерность, заболоченность, залесенность</t>
  </si>
  <si>
    <t>- ширина реки</t>
  </si>
  <si>
    <t>- максимальная ширина (длина) водохранилища</t>
  </si>
  <si>
    <t>- площадь зеркала водохранилища</t>
  </si>
  <si>
    <t>- расчет водного баланса водохранилища</t>
  </si>
  <si>
    <t>3.2.1.2</t>
  </si>
  <si>
    <t>3.2.1.3</t>
  </si>
  <si>
    <t>3.2.1.4</t>
  </si>
  <si>
    <t>3.2.1.5</t>
  </si>
  <si>
    <t>4.1.2</t>
  </si>
  <si>
    <t>4.1.3</t>
  </si>
  <si>
    <t>Назначение перечня показателей, подлежащих контролю в водном объекте</t>
  </si>
  <si>
    <t>4.2.3</t>
  </si>
  <si>
    <t>4.2.4</t>
  </si>
  <si>
    <t>4.2.5</t>
  </si>
  <si>
    <t>4.2.6</t>
  </si>
  <si>
    <t>4.2.9</t>
  </si>
  <si>
    <t>4.2.10</t>
  </si>
  <si>
    <t>4.2.13</t>
  </si>
  <si>
    <t>4.2.14</t>
  </si>
  <si>
    <t>Пестициды:</t>
  </si>
  <si>
    <t>Хлорорганические пестициды (ДДТ, ДДЭ, α-ГХЦГ, γ- ГХЦГ, ГХБ)</t>
  </si>
  <si>
    <t>4.1.1</t>
  </si>
  <si>
    <t>- прирост снежного покрова за 1 сутки</t>
  </si>
  <si>
    <t>Пестициды-инсектоакарициды:</t>
  </si>
  <si>
    <t>Тяжелые металлы:</t>
  </si>
  <si>
    <t>Физико-химические свойства:</t>
  </si>
  <si>
    <t>Биогенные вещества:</t>
  </si>
  <si>
    <t>Главные ионы:</t>
  </si>
  <si>
    <t>Газовый состав:</t>
  </si>
  <si>
    <t xml:space="preserve">Тяжелые металлы: </t>
  </si>
  <si>
    <t>Гербициды:</t>
  </si>
  <si>
    <t>Свойства почвы:</t>
  </si>
  <si>
    <t>Химический состав:</t>
  </si>
  <si>
    <t>Прейскурант</t>
  </si>
  <si>
    <t>Мутность воды:</t>
  </si>
  <si>
    <t>Расход взвешенных наносов:</t>
  </si>
  <si>
    <t xml:space="preserve">Толщина ледяной корки и степень ее распространения </t>
  </si>
  <si>
    <t>Сумма (количество) осадков за:</t>
  </si>
  <si>
    <t>- 2-3  сутки по территории субъекта РФ</t>
  </si>
  <si>
    <t xml:space="preserve">Специализированный прогноз на сутки:  </t>
  </si>
  <si>
    <t xml:space="preserve">Состояние поверхности почвы под снегом </t>
  </si>
  <si>
    <t>2.2.1.4</t>
  </si>
  <si>
    <t>Визуальное определение влажности почвы</t>
  </si>
  <si>
    <t xml:space="preserve">Влажность почвы инструментально в слое: </t>
  </si>
  <si>
    <t>Сроков созревания озимых зерновых культур:</t>
  </si>
  <si>
    <t>Средней областной урожайности и валового сбора озимых зерновых культур: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</si>
  <si>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</si>
  <si>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</si>
  <si>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</si>
  <si>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</si>
  <si>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</si>
  <si>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</si>
  <si>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</si>
  <si>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</si>
  <si>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</si>
  <si>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</si>
  <si>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</si>
  <si>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</si>
  <si>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t>2.2.1.17</t>
  </si>
  <si>
    <t>2.2.1.18</t>
  </si>
  <si>
    <t>2.2.1.19</t>
  </si>
  <si>
    <t>2.2.1.20</t>
  </si>
  <si>
    <t>2.2.1.21</t>
  </si>
  <si>
    <t>2.2.1.22</t>
  </si>
  <si>
    <t>2.2.1.23</t>
  </si>
  <si>
    <t>2.2.1.24</t>
  </si>
  <si>
    <t>2.2.1.25</t>
  </si>
  <si>
    <t>2.2.1.26</t>
  </si>
  <si>
    <t>Температура почвы на сельхозполях на глубинах  - 1 пункт, 1 культура :</t>
  </si>
  <si>
    <t>Прирост биомассы клубней картофеля и корнеплодов  -1пункт наблюдений, 1 срок</t>
  </si>
  <si>
    <t>к-т на 2014г.</t>
  </si>
  <si>
    <t xml:space="preserve">Цена единицы информации 2014г.           (руб.) </t>
  </si>
  <si>
    <t>Определение структуры урожая зерновых культур  -1пункт наблюдений, 1 культура</t>
  </si>
  <si>
    <t>Информационно-аналитические материалы (справки) о сложившихся метеорологических условиях, сравнение метеорологических характеристик с нормами  по 1 муниципальному образованию</t>
  </si>
  <si>
    <t xml:space="preserve">Средней областной урожайности и валового сбора яровых зерновых и зернобобовых культур: </t>
  </si>
  <si>
    <t>Средней областной урожайности и валового сбора:</t>
  </si>
  <si>
    <t xml:space="preserve">- начала осеннего ледохода                </t>
  </si>
  <si>
    <t xml:space="preserve">Боковой приток воды в водохранилище: </t>
  </si>
  <si>
    <t>- ежедневный</t>
  </si>
  <si>
    <t>4.1. ОПЕРАТИВНО-ПРОГНОСТИЧЕСКАЯ</t>
  </si>
  <si>
    <t>- на основании данных наблюдений</t>
  </si>
  <si>
    <t>- на основании данных заказчика</t>
  </si>
  <si>
    <t>- по 1 ингредиенту</t>
  </si>
  <si>
    <t>- по механическому составу и кислотности почв</t>
  </si>
  <si>
    <t>- основным загрязняющим веществом</t>
  </si>
  <si>
    <t>- специфическим загрязняющим веществом</t>
  </si>
  <si>
    <t xml:space="preserve">- 1 сутки </t>
  </si>
  <si>
    <t>- ароматическим или циклическим загрязняющим веществом</t>
  </si>
  <si>
    <t>- тяжелым металлом</t>
  </si>
  <si>
    <t>- бенз(а)пиреном</t>
  </si>
  <si>
    <t>- взвешенные вещества</t>
  </si>
  <si>
    <t>- диоксид серы</t>
  </si>
  <si>
    <t>- оксид углерода</t>
  </si>
  <si>
    <t>- диоксид азота</t>
  </si>
  <si>
    <t>- оксид азота</t>
  </si>
  <si>
    <t>уже продано</t>
  </si>
  <si>
    <t>Расчет числа дней по одной градации:</t>
  </si>
  <si>
    <t xml:space="preserve">- со средней суточной (или максимальной/минимальной) температурой воздуха </t>
  </si>
  <si>
    <t>- озон</t>
  </si>
  <si>
    <t>- растворимые сульфаты</t>
  </si>
  <si>
    <t>- фенол</t>
  </si>
  <si>
    <t>- сероводород</t>
  </si>
  <si>
    <t>- сероуглерод</t>
  </si>
  <si>
    <t>- формальдегид</t>
  </si>
  <si>
    <t>- аммиак</t>
  </si>
  <si>
    <t>- фтористый водород</t>
  </si>
  <si>
    <t>- хлор</t>
  </si>
  <si>
    <t>- ртуть</t>
  </si>
  <si>
    <t>- хром шестивалентный</t>
  </si>
  <si>
    <t>1.2.2.60</t>
  </si>
  <si>
    <t>Паспорт погоды</t>
  </si>
  <si>
    <t>1.2.2.61</t>
  </si>
  <si>
    <t>- серная кислота</t>
  </si>
  <si>
    <t>- бензол</t>
  </si>
  <si>
    <t>- толуол</t>
  </si>
  <si>
    <t>- этилбензол</t>
  </si>
  <si>
    <t>- сумма ксилолов</t>
  </si>
  <si>
    <t>- циклогексанон</t>
  </si>
  <si>
    <t>- циклогексанол</t>
  </si>
  <si>
    <t>- хром общий</t>
  </si>
  <si>
    <t>- железо общее</t>
  </si>
  <si>
    <t>- кадмий</t>
  </si>
  <si>
    <t>- кобальт</t>
  </si>
  <si>
    <t>- марганец</t>
  </si>
  <si>
    <t>- медь</t>
  </si>
  <si>
    <t>- никель</t>
  </si>
  <si>
    <t>- свинец</t>
  </si>
  <si>
    <t>- цинк</t>
  </si>
  <si>
    <t>- запах</t>
  </si>
  <si>
    <t>- РН</t>
  </si>
  <si>
    <t>- электропроводность</t>
  </si>
  <si>
    <t>- диоксид углерода</t>
  </si>
  <si>
    <t xml:space="preserve">- кислород растворенный </t>
  </si>
  <si>
    <t>- % насыщения кислородом</t>
  </si>
  <si>
    <t>Справка об интенсивности и продолжительности отдельных метеорологических явлений по 1 явлению, 1 метеоэлементу, 1пункту</t>
  </si>
  <si>
    <t>- средний за декаду</t>
  </si>
  <si>
    <t>- гидрокарбонаты</t>
  </si>
  <si>
    <t>- сульфаты</t>
  </si>
  <si>
    <t>- хлориды</t>
  </si>
  <si>
    <t>- кальций</t>
  </si>
  <si>
    <t>- магний</t>
  </si>
  <si>
    <t>- натрий и калий</t>
  </si>
  <si>
    <t>- жесткость</t>
  </si>
  <si>
    <t>- азот аммонийный</t>
  </si>
  <si>
    <t>- азот нитритный</t>
  </si>
  <si>
    <t>- азот нитратный</t>
  </si>
  <si>
    <t>- азот органический</t>
  </si>
  <si>
    <t>- азот минеральный</t>
  </si>
  <si>
    <t>- фосфор общий</t>
  </si>
  <si>
    <t>- фосфаты</t>
  </si>
  <si>
    <t>- железо общее (фотометрический)</t>
  </si>
  <si>
    <t>- кремний</t>
  </si>
  <si>
    <t>- нефтепродукты</t>
  </si>
  <si>
    <t>- СПАВ</t>
  </si>
  <si>
    <t>- фенолы летучие</t>
  </si>
  <si>
    <t>- бихроматная окисляемость (ХПК)</t>
  </si>
  <si>
    <t>- метанол</t>
  </si>
  <si>
    <t>- жиры</t>
  </si>
  <si>
    <t>- хлорорганические пестициды  (4 компонента)</t>
  </si>
  <si>
    <t>- мышьяк</t>
  </si>
  <si>
    <t>- хром трехвалентный</t>
  </si>
  <si>
    <t>- ДДТ</t>
  </si>
  <si>
    <t>- ДДЭ</t>
  </si>
  <si>
    <t>- α- ГХЦГ</t>
  </si>
  <si>
    <t>- γ- ГХЦГ</t>
  </si>
  <si>
    <t>- трефлан</t>
  </si>
  <si>
    <t>- ГХБ</t>
  </si>
  <si>
    <t>- 2,4-Д</t>
  </si>
  <si>
    <t>- симазин</t>
  </si>
  <si>
    <t>- прометрин</t>
  </si>
  <si>
    <t>- атразин</t>
  </si>
  <si>
    <t>4.2.7</t>
  </si>
  <si>
    <r>
      <t xml:space="preserve">Метеорологические наблюдения,  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 xml:space="preserve"> - 1 пункт наблюдений, 1 - срок, 1-  показатель:</t>
    </r>
  </si>
  <si>
    <t>- неблагоприятном явлении погоды (НЯ) по участкам водохранилища</t>
  </si>
  <si>
    <t>- ежедневный (оперативный в срок наблюдений)</t>
  </si>
  <si>
    <t>- пестицидами</t>
  </si>
  <si>
    <t>4.2.8</t>
  </si>
  <si>
    <t>- ванадий</t>
  </si>
  <si>
    <t>1.2.2.58</t>
  </si>
  <si>
    <t>- молибден</t>
  </si>
  <si>
    <t>- олово</t>
  </si>
  <si>
    <t>- хром</t>
  </si>
  <si>
    <t>- кислоторастворимые формы (метод ААС, за 1 компонент)</t>
  </si>
  <si>
    <t>- доступные для растений (метод ААС, за 1 компонент)</t>
  </si>
  <si>
    <t>- обменная форма</t>
  </si>
  <si>
    <t>- азот</t>
  </si>
  <si>
    <t>- фосфор</t>
  </si>
  <si>
    <t>- нитраты</t>
  </si>
  <si>
    <t>- 3,4-бенз(а)пирен</t>
  </si>
  <si>
    <t>- гумус</t>
  </si>
  <si>
    <t>- мехсостав</t>
  </si>
  <si>
    <t>- сульфат-ион</t>
  </si>
  <si>
    <t>- нитрат-ион</t>
  </si>
  <si>
    <t>- аммония-ион</t>
  </si>
  <si>
    <t>- хлорид-ион</t>
  </si>
  <si>
    <t>- гидрокарбонат-ион</t>
  </si>
  <si>
    <t>- фосфат-ион</t>
  </si>
  <si>
    <t xml:space="preserve">- молибден </t>
  </si>
  <si>
    <t>- определение удельной активности К-40, Cs-137, Ra-226, Th-232 в почве</t>
  </si>
  <si>
    <t>- наибольший (наименьший) за многолетний период</t>
  </si>
  <si>
    <t>- наибольший  1% обеспеченности</t>
  </si>
  <si>
    <t>- высший (низший) за сутки</t>
  </si>
  <si>
    <t>- наибольший (наименьший) за месяц</t>
  </si>
  <si>
    <t>- наибольший (наименьший) за сутки</t>
  </si>
  <si>
    <t>-радионуклидами</t>
  </si>
  <si>
    <t>- высший (низший)  за месяц</t>
  </si>
  <si>
    <t>- определение удельной активности К-40, Cs-137, Ra-226, Th-232 в твердых строительных материалах</t>
  </si>
  <si>
    <t xml:space="preserve">- в отходах промышленного производства, в минеральном и органическом сырье, используемых для изготовления строительных материалов и изделий </t>
  </si>
  <si>
    <t>II.  АГРОМЕТЕОРОЛОГИЧЕСКАЯ ИНФОРМАЦИЯ</t>
  </si>
  <si>
    <t>III. ГИДРОЛОГИЧЕСКАЯ ИНФОРМАЦИЯ</t>
  </si>
  <si>
    <t>5.1</t>
  </si>
  <si>
    <t xml:space="preserve">- неблагоприятных метеоусловий (НМУ) для Дзержинского промузла </t>
  </si>
  <si>
    <t>Информация о состоянии облачных систем, представленная на монитор компьютера в виде электронного пакета "А" (4 слайда) по запросу Заказчика: 1 получатель информации,  за один 10 минутный цикл обзора.   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 км,  площади обзора 130000 кв.км :</t>
  </si>
  <si>
    <t>I. МЕТЕОРОЛОГИЧЕСКАЯ ИНФОРМАЦИЯ</t>
  </si>
  <si>
    <t xml:space="preserve">- по 8 МС субъекта РФ </t>
  </si>
  <si>
    <t>- по 17 МС субъекта РФ</t>
  </si>
  <si>
    <t>- прогноз средней суточной  температуры воздуха на 3 суток</t>
  </si>
  <si>
    <t xml:space="preserve">- предупреждение о НЯ                                                                          </t>
  </si>
  <si>
    <t>- температура воздуха</t>
  </si>
  <si>
    <t>- максимальная температура воздуха</t>
  </si>
  <si>
    <t>- минимальная температура воздуха</t>
  </si>
  <si>
    <t>- температура воздуха по самописцу</t>
  </si>
  <si>
    <t>- парциальное давление водяного пара</t>
  </si>
  <si>
    <t>- относительная влажность воздуха</t>
  </si>
  <si>
    <t>- относительная влажность воздуха по самописцу</t>
  </si>
  <si>
    <t>- точка росы</t>
  </si>
  <si>
    <t>- цианистый водород</t>
  </si>
  <si>
    <t>- дефицит влажности</t>
  </si>
  <si>
    <t>- направление ветра</t>
  </si>
  <si>
    <t>- средняя скорость ветра</t>
  </si>
  <si>
    <t>- максимальная скорость ветра в срок</t>
  </si>
  <si>
    <t>- максимальная скорость ветра между сроками</t>
  </si>
  <si>
    <t>- продолжительность солнечного  сияния</t>
  </si>
  <si>
    <t>- максимальная температура поверхности почвы</t>
  </si>
  <si>
    <t>- минимальная температура поверхности почвы</t>
  </si>
  <si>
    <t>- температура почвы на глубинах по коленчатым термометрам</t>
  </si>
  <si>
    <t>- температура почвы на глубинах по вытяжным термометрам</t>
  </si>
  <si>
    <t>- продолжительность осадков</t>
  </si>
  <si>
    <t>- интенсивность жидких осадков</t>
  </si>
  <si>
    <t>- метеорологическая дальность видимости</t>
  </si>
  <si>
    <t>- высота снежного покрова  по рейке</t>
  </si>
  <si>
    <t>- плотность снега на конкретную дату</t>
  </si>
  <si>
    <t xml:space="preserve">- запас воды в снеге </t>
  </si>
  <si>
    <t>- количество облаков</t>
  </si>
  <si>
    <t>- форма облаков</t>
  </si>
  <si>
    <t>- на различных глубинах водохранилища за декаду</t>
  </si>
  <si>
    <t>Средняя температура воды:</t>
  </si>
  <si>
    <t>было у ВГМО</t>
  </si>
  <si>
    <t>- в водоводе за месяц</t>
  </si>
  <si>
    <t>- высота нижней границы облаков</t>
  </si>
  <si>
    <t>- вид атмосферного явления</t>
  </si>
  <si>
    <t>- продолжительность атмосферного явления</t>
  </si>
  <si>
    <t>- интенсивность атмосферного явления</t>
  </si>
  <si>
    <t>- вид гололедно-изморозевого отложения на проводе</t>
  </si>
  <si>
    <t>- продолжительность обледенения</t>
  </si>
  <si>
    <t>- размер гололедно-изморозевого отложения на проводе</t>
  </si>
  <si>
    <t>- масса  гололедно-изморозевого отложения</t>
  </si>
  <si>
    <t xml:space="preserve">- предупреждение о РИП </t>
  </si>
  <si>
    <t xml:space="preserve">Средняя температура воды на акватории водохранилища за: </t>
  </si>
  <si>
    <t>- на конец пентады</t>
  </si>
  <si>
    <t>- на конец  декады</t>
  </si>
  <si>
    <t>- на конец  месяца</t>
  </si>
  <si>
    <t>- наибольшая за год</t>
  </si>
  <si>
    <t>Средняя (максимальная) скорость по направлениям за:</t>
  </si>
  <si>
    <t>Суточный ход скорости (направления) ветра</t>
  </si>
  <si>
    <t>1.2.2.25</t>
  </si>
  <si>
    <t>Расчет гидрографических характеристик  -1 водный объект, 1 характеристика:</t>
  </si>
  <si>
    <t>1.2.2.49</t>
  </si>
  <si>
    <t>4.2.1</t>
  </si>
  <si>
    <t>4.2.2</t>
  </si>
  <si>
    <t>№ п/п</t>
  </si>
  <si>
    <t>расчет</t>
  </si>
  <si>
    <t>Органические вещества:</t>
  </si>
  <si>
    <t>0- 20 см</t>
  </si>
  <si>
    <t>до  50 см</t>
  </si>
  <si>
    <t>до 100 см</t>
  </si>
  <si>
    <t>- атмосферное давление</t>
  </si>
  <si>
    <t>4.2.  АНАЛИТИЧЕСКАЯ И РЕЖИМНО-СПРАВОЧНАЯ ИНФОРМАЦИЯ</t>
  </si>
  <si>
    <t>Нефтепродукты</t>
  </si>
  <si>
    <t>Наименование  информации, работ, услуг</t>
  </si>
  <si>
    <t>Время восхода-захода солнца по дням за месяц</t>
  </si>
  <si>
    <t>договорная</t>
  </si>
  <si>
    <t>Стоимость единицы информации без НДС (руб)</t>
  </si>
  <si>
    <t>Ход развития процесса гололедно-изморозевого отложения (один случай)</t>
  </si>
  <si>
    <t xml:space="preserve">Фазы развития и оценки состояния сельхозкультур (по запросу Заказчика) -1пункт наблюдений, 1 культура </t>
  </si>
  <si>
    <t xml:space="preserve">Высота растений  -1пункт наблюдений, 1 срок, 1 культура </t>
  </si>
  <si>
    <t xml:space="preserve">- о состоянии озимых зерновых культур осенью к моменту прекращения вегетации </t>
  </si>
  <si>
    <t>Цена единицы 2010г.</t>
  </si>
  <si>
    <t>к-т на 2011г.</t>
  </si>
  <si>
    <t>к-т на 2010г.</t>
  </si>
  <si>
    <t xml:space="preserve">- об агрометусловиях осенней вегетации озимых зерновых культур </t>
  </si>
  <si>
    <t>- о суммарном испарении с поверхности почвы в вегетационный период</t>
  </si>
  <si>
    <t xml:space="preserve">Густота посевов  -1 пункт наблюдений, 1 срок, 1 культура </t>
  </si>
  <si>
    <t>Аналитический обзор температурных условий по межфазным периодам сельскохозяйственных культур</t>
  </si>
  <si>
    <t>Запас воды в снеге по бассейнам рек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</si>
  <si>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по слоям : </t>
  </si>
  <si>
    <t>Расчет запасов общей и продуктивной влаги в почве нарастающим итогом  на дату наблюдений по слоям:</t>
  </si>
  <si>
    <t>0-5см</t>
  </si>
  <si>
    <t>0-10см</t>
  </si>
  <si>
    <t>0-20см</t>
  </si>
  <si>
    <t>0-50см</t>
  </si>
  <si>
    <t>0-100см</t>
  </si>
  <si>
    <t xml:space="preserve">Расчет запасов общей и продуктивной влаги в почве нарастающим итогом  на дату наблюдений (средний) 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</si>
  <si>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за сезон по слоям : </t>
  </si>
  <si>
    <t>Глубина промерзания, оттаивания почвы  -1 пункт, 1 срок наблюдений (максимальная)</t>
  </si>
  <si>
    <t xml:space="preserve">- неблагоприятных метеоусловий (НМУ) </t>
  </si>
  <si>
    <t>- уровня загрязнения воздуха</t>
  </si>
  <si>
    <t>введено</t>
  </si>
  <si>
    <t>Гидротермический коэффициент за период вегетации - 1 пункт наблюдений, 1 месяц</t>
  </si>
  <si>
    <t>Долгосрочные специализированные прогнозы (консультации) по 1 пункту:</t>
  </si>
  <si>
    <t>4.3.3.2</t>
  </si>
  <si>
    <t>Температура воздуха самой холодной пятидневки</t>
  </si>
  <si>
    <t>Даты:</t>
  </si>
  <si>
    <t xml:space="preserve">- устойчивого перехода температуры воздуха весной и осенью через какие-либо значения </t>
  </si>
  <si>
    <t xml:space="preserve">- первого и последнего заморозка (в воздухе, на высоте 2см, в травостое)  для разных значений температуры  (0º, -0º, -1º, -2º,   -3º, -4º, -5ºС.)                                     </t>
  </si>
  <si>
    <t>Опасные явления погоды (шквал, град, гроза, сильный ливень):</t>
  </si>
  <si>
    <t>за 1 цикл обзора - 10 минут (слайд)</t>
  </si>
  <si>
    <t xml:space="preserve"> Коэффициент срочности подготовки информации от 1,1 до 1,5.</t>
  </si>
  <si>
    <t>Специализированный прогноз начала отопительного периода по районам области</t>
  </si>
  <si>
    <t>- комплексе метеорологических явлений (КМЯ)</t>
  </si>
  <si>
    <t>1.2.2.59</t>
  </si>
  <si>
    <t>Краткосрочные специализированные прогнозы  (консультации) по 1 пункту:</t>
  </si>
  <si>
    <t xml:space="preserve">Слой осадков за любой промежуток времени </t>
  </si>
  <si>
    <t>Прогноз класса горимости леса на 1-3 сутки по территории субъекта РФ</t>
  </si>
  <si>
    <t>Число дней с относительной влажностью воздуха &lt;30% или &gt;80% за год</t>
  </si>
  <si>
    <t>1.2. АНАЛИТИЧЕСКАЯ И РЕЖИМНО-СПРАВОЧНАЯ ИНФОРМАЦИЯ</t>
  </si>
  <si>
    <t>Средняя температура воздуха за:</t>
  </si>
  <si>
    <t>1.2.2.57</t>
  </si>
  <si>
    <t>Рекогносцировочное обследование территории и подготовка заключения</t>
  </si>
  <si>
    <t>Специализированный прогноз аномалий температуры воздуха и количества осадков на предстоящий месяц</t>
  </si>
  <si>
    <t>не индекс.</t>
  </si>
  <si>
    <t>Специализированный прогноз погоды на:</t>
  </si>
  <si>
    <t>-химическими веществами</t>
  </si>
  <si>
    <t>- 12 часов по городу</t>
  </si>
  <si>
    <t>- 1 сутки по городу</t>
  </si>
  <si>
    <t>- 1 сутки по судовому ходу водного объекта</t>
  </si>
  <si>
    <t>Предупреждения (1 предупреждение) о:</t>
  </si>
  <si>
    <t>- неблагоприятном явлении погоды (НЯ)</t>
  </si>
  <si>
    <t xml:space="preserve">- резком изменении погоды (РИП) </t>
  </si>
  <si>
    <t>Специализированный гидрологический бюллетень</t>
  </si>
  <si>
    <t>Аналитический обзор прохождения весеннего половодья</t>
  </si>
  <si>
    <t>Информационно-аналитические материалы (справки) о сложившихся гидрометеорологических условиях в бассейне реки</t>
  </si>
  <si>
    <t>- с температурой выше (ниже) заданной градации за год</t>
  </si>
  <si>
    <t>- с заморозками разной интенсивности в воздухе (на высоте 2 см)</t>
  </si>
  <si>
    <t>Аналитическая информация (справка) по 1 субъекту РФ:</t>
  </si>
  <si>
    <t xml:space="preserve">- максимальных уровней (расходов) весеннего половодья </t>
  </si>
  <si>
    <t>- появления плавучего льда на реках и ледостава на водохранилищах</t>
  </si>
  <si>
    <t>- притока воды в водохранилище за период весеннего половодья</t>
  </si>
  <si>
    <t>- притока воды в водохранилище за квартал</t>
  </si>
  <si>
    <t>- притока воды в водохранилище за месяц</t>
  </si>
  <si>
    <t>- притока воды в водохранилище на спаде половодья</t>
  </si>
  <si>
    <t>- сроков вскрытия водных объектов -1 водный объект, 1 пункт</t>
  </si>
  <si>
    <t xml:space="preserve">- максимальных уровней весеннего половодья </t>
  </si>
  <si>
    <t>- сроков появления льда и установления ледостава (1 водный объект, 1 пункт)</t>
  </si>
  <si>
    <t xml:space="preserve">- минимальных уровней в летнюю межень </t>
  </si>
  <si>
    <t>3.1.3</t>
  </si>
  <si>
    <t>3.1.4</t>
  </si>
  <si>
    <t>3.1.5</t>
  </si>
  <si>
    <t>3.1.6</t>
  </si>
  <si>
    <t>3.1.7</t>
  </si>
  <si>
    <t>3.1.8</t>
  </si>
  <si>
    <t>3.2.1.14</t>
  </si>
  <si>
    <t>3.2.1.15</t>
  </si>
  <si>
    <t>3.2.1.16</t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</si>
  <si>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атмосферного воздуха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</si>
  <si>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поверхностных вод суши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</si>
  <si>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>- БПК</t>
    </r>
    <r>
      <rPr>
        <vertAlign val="subscript"/>
        <sz val="11"/>
        <rFont val="Times New Roman"/>
        <family val="1"/>
        <charset val="204"/>
      </rPr>
      <t>5</t>
    </r>
  </si>
  <si>
    <r>
      <t>Информация о состоянии загрязнения</t>
    </r>
    <r>
      <rPr>
        <b/>
        <sz val="11"/>
        <rFont val="Times New Roman"/>
        <family val="1"/>
        <charset val="204"/>
      </rPr>
      <t xml:space="preserve"> почвы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</si>
  <si>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t>4.1.4</t>
  </si>
  <si>
    <t>Проведение обследования объектов окружающей среды:</t>
  </si>
  <si>
    <t>Утвержденная цена единицы 2010г.</t>
  </si>
  <si>
    <t xml:space="preserve"> * расчет - 38,0руб х 6(количество циклов за 1 час работы МРЛ) х "n" часов</t>
  </si>
  <si>
    <t>V. ИНФОРМАЦИОННЫЕ УСЛУГИ ОБЩЕГО НАЗНАЧЕНИЯ</t>
  </si>
  <si>
    <t>- оперативно-прогностической информации</t>
  </si>
  <si>
    <t>- аналитической и режимно-справочной информации</t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</si>
  <si>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атмосферных осадков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</si>
  <si>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снежного покрова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</si>
  <si>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r>
      <t xml:space="preserve">Информация о состоянии загрязнения </t>
    </r>
    <r>
      <rPr>
        <b/>
        <sz val="11"/>
        <rFont val="Times New Roman"/>
        <family val="1"/>
        <charset val="204"/>
      </rPr>
      <t>донных отложений</t>
    </r>
    <r>
      <rPr>
        <sz val="11"/>
        <rFont val="Times New Roman"/>
        <family val="1"/>
        <charset val="204"/>
      </rPr>
      <t>, полученная на основании данных наблюдений по запросу Заказчика - 1 пункт, 1 срок, 1 показатель:</t>
    </r>
  </si>
  <si>
    <t>ФГБУ "Верхне-Волжское УГМС"</t>
  </si>
  <si>
    <r>
      <t xml:space="preserve">Информация о слое осадков за 12 часов, представленная на монитор компьютера в виде электронного </t>
    </r>
    <r>
      <rPr>
        <b/>
        <sz val="11"/>
        <rFont val="Times New Roman"/>
        <family val="1"/>
        <charset val="204"/>
      </rPr>
      <t>пакета "Б"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(72 слайда)</t>
    </r>
    <r>
      <rPr>
        <sz val="11"/>
        <rFont val="Times New Roman"/>
        <family val="1"/>
        <charset val="204"/>
      </rPr>
      <t xml:space="preserve"> по запросу Заказчика: </t>
    </r>
    <r>
      <rPr>
        <b/>
        <sz val="11"/>
        <rFont val="Times New Roman"/>
        <family val="1"/>
        <charset val="204"/>
      </rPr>
      <t>1 получатель</t>
    </r>
    <r>
      <rPr>
        <sz val="11"/>
        <rFont val="Times New Roman"/>
        <family val="1"/>
        <charset val="204"/>
      </rPr>
      <t xml:space="preserve"> информации,</t>
    </r>
    <r>
      <rPr>
        <b/>
        <sz val="11"/>
        <rFont val="Times New Roman"/>
        <family val="1"/>
        <charset val="204"/>
      </rPr>
      <t xml:space="preserve"> 1 метеоэлемент.  </t>
    </r>
    <r>
      <rPr>
        <sz val="11"/>
        <rFont val="Times New Roman"/>
        <family val="1"/>
        <charset val="204"/>
      </rPr>
      <t xml:space="preserve">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200км, площади обзора 130000 кв.км  </t>
    </r>
  </si>
  <si>
    <t xml:space="preserve"> 1.1 ОПЕРАТИВНО-ПРОГНОСТИЧЕСКАЯ ИНФОРМАЦИЯ</t>
  </si>
  <si>
    <r>
      <t xml:space="preserve">Расчетные данные метеорологических характеристик </t>
    </r>
    <r>
      <rPr>
        <b/>
        <sz val="11"/>
        <rFont val="Times New Roman"/>
        <family val="1"/>
        <charset val="204"/>
      </rPr>
      <t>(по запросу и градациям Заказчика</t>
    </r>
    <r>
      <rPr>
        <sz val="11"/>
        <rFont val="Times New Roman"/>
        <family val="1"/>
        <charset val="204"/>
      </rPr>
      <t>) за определенный период (сутки, декада, месяц, сезон, год) - 1 пункт, 1 период, 1 показатель:</t>
    </r>
  </si>
  <si>
    <t>Определение элементов продуктивности зерновых культур -1пункт наблюдений, 1 культура</t>
  </si>
  <si>
    <t>4.2.11</t>
  </si>
  <si>
    <t>4.2.12</t>
  </si>
  <si>
    <t>4.3.8</t>
  </si>
  <si>
    <t>- сутки</t>
  </si>
  <si>
    <t>- декаду</t>
  </si>
  <si>
    <t>- месяц</t>
  </si>
  <si>
    <t xml:space="preserve">- год </t>
  </si>
  <si>
    <t xml:space="preserve">Максимальная (минимальная) температура воздуха за: </t>
  </si>
  <si>
    <t xml:space="preserve">Средняя температура на поверхности почвы  за:  </t>
  </si>
  <si>
    <t>Число ясных и пасмурных дней за:</t>
  </si>
  <si>
    <t>Повторяемость форм облачности за:</t>
  </si>
  <si>
    <t>Число случаев с видимостью различных градаций  за:</t>
  </si>
  <si>
    <t>Средняя скорость ветра за:</t>
  </si>
  <si>
    <t>Максимальная скорость ветра за:</t>
  </si>
  <si>
    <t>Число дней с ветром &gt;15м/с или &gt;30 м/с   за:</t>
  </si>
  <si>
    <t>- день</t>
  </si>
  <si>
    <t>- ночь</t>
  </si>
  <si>
    <t>- 5 см (10см)</t>
  </si>
  <si>
    <t xml:space="preserve">Сведения о количестве дней с атмосферными явлениями за:                                                                                                                                             </t>
  </si>
  <si>
    <t>Число дней без солнца по месяцам   за год</t>
  </si>
  <si>
    <t>Продолжительность солнечного сияния  за год</t>
  </si>
  <si>
    <t>Количество дней со снежным покровом за месяц</t>
  </si>
  <si>
    <t>Отношение фактической продолжительности солнечного сияния к теоретически возможной   за месяц</t>
  </si>
  <si>
    <t>Испарение с водной поверхности   за сутки</t>
  </si>
  <si>
    <t xml:space="preserve"> 2.1. ОПЕРАТИВНО-ПРОГНОСТИЧЕСКАЯ ИНФОРМАЦИЯ</t>
  </si>
  <si>
    <t>- основной прогноз</t>
  </si>
  <si>
    <t>- уточнение</t>
  </si>
  <si>
    <t>- льна</t>
  </si>
  <si>
    <t>- картофеля</t>
  </si>
  <si>
    <t>- сахарной свеклы</t>
  </si>
  <si>
    <t>2.2. АНАЛИТИЧЕСКАЯ И РЕЖИМНО-СПРАВОЧНАЯ ИНФОРМАЦИЯ</t>
  </si>
  <si>
    <t>3.1. ОПЕРАТИВНО-ПРОГНОСТИЧЕСКАЯ</t>
  </si>
  <si>
    <t>- среднее, максимальное (минимальное) за сутки</t>
  </si>
  <si>
    <t>- среднее, максимальное (минимальное) за месяц</t>
  </si>
  <si>
    <t>- среднее, максимальное (минимальное) за год</t>
  </si>
  <si>
    <t xml:space="preserve">Атмосферное давление:                          </t>
  </si>
  <si>
    <t>- на маршруте (на дату снегосъемки)</t>
  </si>
  <si>
    <t>Запас воды в снеге (на дату снегосъемки)</t>
  </si>
  <si>
    <t>Плотность снега на маршруте (на дату снегосъемки)</t>
  </si>
  <si>
    <t>- вероятностных характеристик по  1 метеоэлементу, 1 значению</t>
  </si>
  <si>
    <t>Аналитическая информация (справка) о загрязнении почв в 1 пробе по 1 ингредиенту:</t>
  </si>
  <si>
    <t>Аналитическая информация (справка) о загрязнении снежного покрова в 1 пробе по                             1 ингредиенту:</t>
  </si>
  <si>
    <t>4.3.1.5</t>
  </si>
  <si>
    <t>Бенз(а)пирен (суммарная за месяц концентрация)</t>
  </si>
  <si>
    <t>-электропроводность</t>
  </si>
  <si>
    <t>-кислотность</t>
  </si>
  <si>
    <t>-кальций</t>
  </si>
  <si>
    <t>-цинк</t>
  </si>
  <si>
    <t>-магний</t>
  </si>
  <si>
    <t>Тяжелые металлы, растворимая и нерастворимая формы отдельно:</t>
  </si>
  <si>
    <t xml:space="preserve">- ртуть </t>
  </si>
  <si>
    <t>Химические  вещества:</t>
  </si>
  <si>
    <t>-РН</t>
  </si>
  <si>
    <t>352</t>
  </si>
  <si>
    <t>-гидрокарбонаты</t>
  </si>
  <si>
    <t>-сульфаты</t>
  </si>
  <si>
    <t>-хлориды</t>
  </si>
  <si>
    <t>-азот аммонийный</t>
  </si>
  <si>
    <t>-азот нитритный</t>
  </si>
  <si>
    <t>-азот нитратный</t>
  </si>
  <si>
    <t>-фосфор общий</t>
  </si>
  <si>
    <t>-фенолы летучие</t>
  </si>
  <si>
    <t>-формальдегид</t>
  </si>
  <si>
    <t>238</t>
  </si>
  <si>
    <t>637</t>
  </si>
  <si>
    <t>529</t>
  </si>
  <si>
    <t>728</t>
  </si>
  <si>
    <t>331</t>
  </si>
  <si>
    <t>1191</t>
  </si>
  <si>
    <t>567</t>
  </si>
  <si>
    <t>903</t>
  </si>
  <si>
    <t>882</t>
  </si>
  <si>
    <t>Юбилейный бюллетень</t>
  </si>
  <si>
    <t xml:space="preserve">Глубина промерзания, оттаивания почвы  -1 пункт, 1 срок наблюдений </t>
  </si>
  <si>
    <t>2.2.1.27</t>
  </si>
  <si>
    <t>Консультации о водном и ледовом режиме (1 пункт)</t>
  </si>
  <si>
    <t>Расчетные данные притока воды в водохранилище на сутки</t>
  </si>
  <si>
    <t>- наибольший  1% , 3%, 10% обеспеченности</t>
  </si>
  <si>
    <t>-объем водохранилища</t>
  </si>
  <si>
    <t>1.2.2.62</t>
  </si>
  <si>
    <t xml:space="preserve">Специализированная продукция для системообразующих предприятий электроэнергетики  -1 показатель:           </t>
  </si>
  <si>
    <t>- фактическая средняя суточная температура воздуха при  устойчивом переходе через                       +8 градусов в сторону низких значений</t>
  </si>
  <si>
    <t>Расчет морфометрических характеристик русла реки, водохранилища - 1 водный объект,                                     1 характеристика:</t>
  </si>
  <si>
    <t>3.1.9</t>
  </si>
  <si>
    <t>Обзор гидрометеорологических условий состояния водных объектов</t>
  </si>
  <si>
    <t>к-т на 2015г.</t>
  </si>
  <si>
    <t>Стоимость специализированной гидрометинформации  рассчитана исходя из затрат на ее производство и                                                                   предоставление.</t>
  </si>
  <si>
    <t xml:space="preserve">                                                                                 Утверждаю</t>
  </si>
  <si>
    <t xml:space="preserve">                                                        Начальник ФГБУ "Верхне-Волжское УГМС"</t>
  </si>
  <si>
    <t xml:space="preserve">                                                                        ________________В.Н. Третьяков</t>
  </si>
  <si>
    <r>
      <t xml:space="preserve">             </t>
    </r>
    <r>
      <rPr>
        <sz val="9"/>
        <rFont val="Arial Cyr"/>
        <charset val="204"/>
      </rPr>
      <t>Н</t>
    </r>
    <r>
      <rPr>
        <sz val="8"/>
        <rFont val="Times New Roman"/>
        <family val="1"/>
        <charset val="204"/>
      </rPr>
      <t>астоящий Прейскурант разработан в соответствии с Федеральным законом "О гидрометеорологической службе" № 113-ФЗ от 19 июля 1998 года,  Постановлением Правительства Российской Федерации № 1425 от 15 ноября 1997 года, на основании Методических указаний  "О порядке ценообразования на гидрометеорологическую продукцию и  информацию о состоянии  окружающей природной  среды, ее загрязнении"  (утв. Приказом Росгидромета от 24.02.99г. № 24).</t>
    </r>
  </si>
  <si>
    <t xml:space="preserve">Цена единицы информации  2015г.(руб.) </t>
  </si>
  <si>
    <t>Справка о качестве воды в водном объекте в районе водопользования с расчетом УКИЗВ и определением класса качества воды (единица измерения - количество створов гидрохимических наблюдений)</t>
  </si>
  <si>
    <t>1.2.2.1.</t>
  </si>
  <si>
    <t>Коэффициент стратификации атмосферы</t>
  </si>
  <si>
    <t>500</t>
  </si>
  <si>
    <t>-сезон</t>
  </si>
  <si>
    <t>1500</t>
  </si>
  <si>
    <t>Краткосрочный прогноз гидрографа половодья (1 расчет)</t>
  </si>
  <si>
    <t>3.2.1.17</t>
  </si>
  <si>
    <t>Консультация синоптика о погодных процессах</t>
  </si>
  <si>
    <t>Экспертно-аналитическое заключение об опасных гидрометеорологических явлениях (ОЯ) или комплексах метеорологических явлениях (КМЯ) по результатам оперативного обследования пострадавших территорий с расчетом гидрометеорологических показателей, включая страховые компании</t>
  </si>
  <si>
    <t xml:space="preserve">- проведение маршрутного обследования с выездом специалиста и аналитический обзор состояния с/х культур </t>
  </si>
  <si>
    <t>Агрометеорологическая оценка состояния посевов по данным маршрутного обследования, экспертно-аналитическое заключение</t>
  </si>
  <si>
    <t xml:space="preserve">Специализированный прогноз по одному метеоэлементу (среднесуточная температура воздуха, осадки, ветер и т.д.) по 1 пункту, за 1 период на: </t>
  </si>
  <si>
    <t>* Примечание:</t>
  </si>
  <si>
    <t>Рассмотрение документации по использованию водного объекта, подготовка заключения для хозяйствующих субъектов</t>
  </si>
  <si>
    <t>Специализированные агрометеорологические прогнозы по 1 пункту:</t>
  </si>
  <si>
    <t>- минимальных уровней воды в летнюю межень</t>
  </si>
  <si>
    <t>Камеральные работы и подготовка отчета (заключения) по результатам обследования</t>
  </si>
  <si>
    <t xml:space="preserve">договорная </t>
  </si>
  <si>
    <r>
      <t xml:space="preserve">Гидрологические характеристики,  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 xml:space="preserve"> - 1 пункт наблюдений, 1 срок, 1 показатель:</t>
    </r>
  </si>
  <si>
    <t>Стоимость гидрометеорологической информации  общего назначения рассчитана исходя из затрат на ее подготовку, копирование и передачу.</t>
  </si>
  <si>
    <t xml:space="preserve">- отбор 1 пробы по 1 показателю за 1 срок </t>
  </si>
  <si>
    <t xml:space="preserve">Оформление гидрохимического паспорта пункта наблюдений за загрязнением поверхностных вод суши, проведение обследования, установка створов, вертикалей, гидрохимическое обследование водного объекта. (1 водный объект, 1 створ) </t>
  </si>
  <si>
    <t>4.3.10</t>
  </si>
  <si>
    <t xml:space="preserve">4.3.9                    </t>
  </si>
  <si>
    <t>- специализированный прогноз погоды на сутки по заданной территории, району города</t>
  </si>
  <si>
    <t>1.1.12</t>
  </si>
  <si>
    <t>Специализированный прогноз окончания отопительного периода по районам области</t>
  </si>
  <si>
    <r>
      <t>Агрометеорологическая информация (</t>
    </r>
    <r>
      <rPr>
        <b/>
        <sz val="11"/>
        <rFont val="Times New Roman"/>
        <family val="1"/>
        <charset val="204"/>
      </rPr>
      <t>по запросу Заказчика</t>
    </r>
    <r>
      <rPr>
        <sz val="11"/>
        <rFont val="Times New Roman"/>
        <family val="1"/>
        <charset val="204"/>
      </rPr>
      <t>)- 1 пункт наблюдений, 1 - срок,  1-  показатель (культура):</t>
    </r>
  </si>
  <si>
    <t>-рекогносцированное обследование объекта окружающей среды и подготовка заключения ( с использованием МЭЛ-А)</t>
  </si>
  <si>
    <t>рекогносцировочное обследование одного водного объекта и подготовка заключения (с использованием маломерного суда)</t>
  </si>
  <si>
    <t xml:space="preserve">Проведение отращивания с/х культур методом вырубки монолитов - 1 срок, 1 культура </t>
  </si>
  <si>
    <t xml:space="preserve">- перезимовка озимых зерновых культур и многолетних трав  по данным январского отращивания монолитов  </t>
  </si>
  <si>
    <t xml:space="preserve">- перезимовка озимых зерновых культур и многолетних трав  по данным февральского отращивания монолитов </t>
  </si>
  <si>
    <t>- о состоянии озимых зерновых культур и многолетних трав после возобновления вегетации весной</t>
  </si>
  <si>
    <t xml:space="preserve">Цена единицы информации  2016г.(руб.) </t>
  </si>
  <si>
    <t>VIII. ПРЕДОСТАВЛЕНИЕ СИНОПТИЧЕСКИХ КАРТ И МЕТЕОРОЛОГИЧЕСКОЙ РАДИОЛОКАЦИОННОЙ ИНФОРМАЦИИ</t>
  </si>
  <si>
    <t>8.1</t>
  </si>
  <si>
    <t>Кольцевая карта погоды QPPA98</t>
  </si>
  <si>
    <t>QPPA98RUMS</t>
  </si>
  <si>
    <t>8.2</t>
  </si>
  <si>
    <t>Кольцевая карта погоды QPKA98</t>
  </si>
  <si>
    <t>QPKA98RUEK</t>
  </si>
  <si>
    <t>8.3</t>
  </si>
  <si>
    <t>Барическая топография 850 мб и 700 мб</t>
  </si>
  <si>
    <t>PYUA85RUMS</t>
  </si>
  <si>
    <t>PYUA70RUMS</t>
  </si>
  <si>
    <t>8.4</t>
  </si>
  <si>
    <t>Карты прогноза количества осадков PEUH98, PEUD98, PEUJ98, PEUF98, PEUW98, PEUX98</t>
  </si>
  <si>
    <t>PEUH98EDZW</t>
  </si>
  <si>
    <t>PEUD98EDZW</t>
  </si>
  <si>
    <t>PEUJ98EDZW</t>
  </si>
  <si>
    <t>PEUF98EDZW</t>
  </si>
  <si>
    <t>PEUW98EDZW</t>
  </si>
  <si>
    <t>PEUX98EDZW</t>
  </si>
  <si>
    <t>8.5</t>
  </si>
  <si>
    <t>Приземные прогностические карты PPUE98, PPUG98</t>
  </si>
  <si>
    <t>PPUG98RUMS</t>
  </si>
  <si>
    <t>PPUE98RUMS</t>
  </si>
  <si>
    <t>8.6</t>
  </si>
  <si>
    <t>Приземные прогностические карты PPOG89, PPOI89, PPOJ89, PPOL89, PPON89</t>
  </si>
  <si>
    <t>PPOG89EDZW</t>
  </si>
  <si>
    <t>PPOI89EDZW</t>
  </si>
  <si>
    <t>PPOJ89EDZW</t>
  </si>
  <si>
    <t>PPOL89EDZW</t>
  </si>
  <si>
    <t>PPON89EDZW</t>
  </si>
  <si>
    <t>8.7</t>
  </si>
  <si>
    <t>Комплексная радарная карта</t>
  </si>
  <si>
    <t>QAVA91RUMS</t>
  </si>
  <si>
    <t>VI. РАДИОМЕТЕОРОЛОГИЧЕСКАЯ ИНФОРМАЦИЯ (ДМРЛ)</t>
  </si>
  <si>
    <t>6.1.5</t>
  </si>
  <si>
    <t>Двоичные данные ДМРЛ - С в коде BUFR - 10 минут</t>
  </si>
  <si>
    <t>- мощность амбиентного эквивалента дозы</t>
  </si>
  <si>
    <t>- железо</t>
  </si>
  <si>
    <t>- выполнение расчета фоновых концентраций по одному ингредиенту на основании данных наблюдений</t>
  </si>
  <si>
    <t>- расчет фоновых концентраций по одному ингредиенту на основании  данных с учетом численности населения</t>
  </si>
  <si>
    <t>Гидробиологические данные для 1 показателя из каждого гидробиологического вида работ:</t>
  </si>
  <si>
    <t>- фитопланктона</t>
  </si>
  <si>
    <t>- зоопланктона</t>
  </si>
  <si>
    <t>- зообентоса</t>
  </si>
  <si>
    <t>Тяжелые металлы (АЭС, ААС):</t>
  </si>
  <si>
    <t>валовое содержание, а также кислоторастворимые и подвижные формы отдельно:</t>
  </si>
  <si>
    <t>Справочные данные о наличии наблюдений</t>
  </si>
  <si>
    <t>Расчет средних многолетних и максимальных значений параметров загрязнения окружающей среды</t>
  </si>
  <si>
    <t>4.2.15</t>
  </si>
  <si>
    <t>Категория загрязнения атмосферного воздуха (ИЗА) по одному муниципальному образованию</t>
  </si>
  <si>
    <t>4.2.16</t>
  </si>
  <si>
    <t>Суммарный индекс загрязнения почвы</t>
  </si>
  <si>
    <t>4.3.11</t>
  </si>
  <si>
    <t>Выполнение рекогносцировочного обследования и гидрохимических работ в месте водопользования, ширина водного объекта до 50 м, 1 створ</t>
  </si>
  <si>
    <t>4.3.12</t>
  </si>
  <si>
    <t>Выполнение рекогносцировочного обследования и гидрохимических работ в месте водопользования, ширина водного объекта до 50 - 100 м, 1 створ</t>
  </si>
  <si>
    <t>4.3.13</t>
  </si>
  <si>
    <t>Выполнение рекогносцировочного обследования и гидрохимических работ в месте водопользования, ширина водного объекта более  100 м, 1 створ</t>
  </si>
  <si>
    <t>4.3.14</t>
  </si>
  <si>
    <t>5.2</t>
  </si>
  <si>
    <t>Обследование территории с выездом на место (1 точка, 1 срок, 1 показатель)</t>
  </si>
  <si>
    <t>1.2.2.8.1</t>
  </si>
  <si>
    <t>Расчет сумм положительных (эффективных) температур воздуха за период со средней суточной температурой выше 0º, 5º, 10º, 15ºС. За многолетний период</t>
  </si>
  <si>
    <t xml:space="preserve">- устойчивого перехода температуры воздуха весной и осенью через какие-либо значения за многолетний период </t>
  </si>
  <si>
    <t>1.2.2.21.1</t>
  </si>
  <si>
    <t>Число ясных и пасмурных дней за многолетний период:</t>
  </si>
  <si>
    <t>1.2.2.34.1</t>
  </si>
  <si>
    <t>- Суточный максимум осадков за многолетний период</t>
  </si>
  <si>
    <t>1.2.2.41.1</t>
  </si>
  <si>
    <t>- средняя, максимальная (минимальная) за декаду. За многолетний период</t>
  </si>
  <si>
    <t>- средняя, максимальная (минимальная) за месяц. За многолетний период</t>
  </si>
  <si>
    <t>- средняя, максимальная (минимальная) за год. За многолетний период</t>
  </si>
  <si>
    <t>1.2.2.43.1</t>
  </si>
  <si>
    <t xml:space="preserve">Данные о датах установления снежного покрова и его сходе за многолетний период </t>
  </si>
  <si>
    <t>1.2.2.44.1</t>
  </si>
  <si>
    <t>Количество дней со снежным покровом за год. За многолетний период</t>
  </si>
  <si>
    <t>1.2.2.49.1</t>
  </si>
  <si>
    <t>Сведения о гололедно-изморозевых явлениях за зиму по одному виду за многолетний период:</t>
  </si>
  <si>
    <t>1.1.3.1</t>
  </si>
  <si>
    <t>Специализированный прогноз погоды по району на 4-5 суток</t>
  </si>
  <si>
    <t>Информационная справка за сутки (бюллетень)</t>
  </si>
  <si>
    <t>- по 1 МС субъекта РФ</t>
  </si>
  <si>
    <t>Обзор метеорологических условий за месяц по территории</t>
  </si>
  <si>
    <t>Информационно-аналитические материалы (справки) о сложившихся экологических условиях по архивным данным</t>
  </si>
  <si>
    <t>Метеорологические сведения (справки), не включенные в перечень Прейскуранта</t>
  </si>
  <si>
    <t xml:space="preserve"> - на предоставление услуг комплексного и объемного характера может быть предусмотрена скидка до 15 % стоимости единицы информации </t>
  </si>
  <si>
    <t>- для потребителей, получивших специализированную информацию о состоянии окружающей среды не менее 180 календарных дней в году может быть предусмотрена скидка до 20% стоимости единицы информации</t>
  </si>
  <si>
    <t>Расчет условных фоновых концентраций в водном объекте по 1 ингредиенту:</t>
  </si>
  <si>
    <t>4.2.17</t>
  </si>
  <si>
    <t>4.2.18</t>
  </si>
  <si>
    <t>4.2.19</t>
  </si>
  <si>
    <t>4.2.20</t>
  </si>
  <si>
    <t>Отчет (справка) об уровне загрязнения компонента окружающей среды за 1 месяц (год)</t>
  </si>
  <si>
    <t>- выполнение расчета долгопериодных средних концентраций по одному ингредиенту на основании данных наблюдений</t>
  </si>
  <si>
    <t>- расчет долгопериодных средних концентраций по одному ингредиенту с учетом численности населения</t>
  </si>
  <si>
    <t>- акрилаты (метилакрилат и метилметакрилат)</t>
  </si>
  <si>
    <t>- наличие и вид осадков за день/ночь</t>
  </si>
  <si>
    <t>IV. ЕДИНИЦА ИНФОРМАЦИИ О ЗАГРЯЗНЕНИИ ОКРУЖАЮЩЕЙ СРЕДЫ</t>
  </si>
  <si>
    <t>Аналитическая информация (справка) о загрязнении воды отдельных участков водоемов и водотоков на основании данных наблюдений за 1 месяц (год) одним загрязняющим веществом, в том числе по гидробиологическим показателям (по одному показателю фитопланктона, зоопланктона, зообентоса)</t>
  </si>
  <si>
    <t>Возмещение расходов на подготовку, копирование и передачу по сетям электрической и почтовой связи в один адрес:</t>
  </si>
  <si>
    <t>1.2.2.5.1</t>
  </si>
  <si>
    <t>Температура воздуха самой холодной пятидневки, различной обеспеченности</t>
  </si>
  <si>
    <t>1.2.2.5.2</t>
  </si>
  <si>
    <t>Температура воздуха самых холодных суток</t>
  </si>
  <si>
    <t>1.2.2.5.3</t>
  </si>
  <si>
    <t>Температура воздуха самых холодных суток различной обеспеченности</t>
  </si>
  <si>
    <t>1.2.2.30.1</t>
  </si>
  <si>
    <t>Повторяемость направления ветра по 16 румбам за:</t>
  </si>
  <si>
    <t>1.2.2.39.1</t>
  </si>
  <si>
    <t>Сведения об ОЯ за многолетний период</t>
  </si>
  <si>
    <t>1.2.2.40.1</t>
  </si>
  <si>
    <t>Расчетная высота снежного покрова с вероятностью превышения 5%</t>
  </si>
  <si>
    <t>1.2.2.49.2</t>
  </si>
  <si>
    <t>Расчетная толщина стенки гололеда</t>
  </si>
  <si>
    <t>1.2.2.49.3</t>
  </si>
  <si>
    <t>Расчетная толщина стенки гололеда, различной обеспеченности</t>
  </si>
  <si>
    <t>Повторяемость направления ветра по 8 румбам за:</t>
  </si>
  <si>
    <t>Камеральные работы и подготовка Акта или отчета (заключения) по результатам обследования</t>
  </si>
  <si>
    <t>1.2.2.34.2</t>
  </si>
  <si>
    <t>1.2.2.34.3</t>
  </si>
  <si>
    <t>- Суточный максимум осадков 1% обеспеченности</t>
  </si>
  <si>
    <t>- Распределение осадков по видам (жидкие, твердые, смешанные), за 1 вид:</t>
  </si>
  <si>
    <t>- число дней за месяц</t>
  </si>
  <si>
    <t>- число дней за год</t>
  </si>
  <si>
    <t>5.3</t>
  </si>
  <si>
    <t>5.4</t>
  </si>
  <si>
    <t>Переоформление документов и подготовка дубликатов по запросу заказчика</t>
  </si>
  <si>
    <t>5.5</t>
  </si>
  <si>
    <t>- углеродсодержащий аэрозоль</t>
  </si>
  <si>
    <t>4.3. ИНФОРМАЦИЯ О СОСТОЯНИИ ЗАГРЯЗНЕНИЯ ОКРУЖАЮЩЕЙ СРЕДЫ</t>
  </si>
  <si>
    <t>Аналитический обзор (справка) о состоянии загрязнении почв города</t>
  </si>
  <si>
    <t>согласно п.4.3.3</t>
  </si>
  <si>
    <t>согласно п.4.3.1</t>
  </si>
  <si>
    <t>согласно п.4.3.2</t>
  </si>
  <si>
    <t>согласно п.4.3.7</t>
  </si>
  <si>
    <t>Аналитический годовой обзор по 1 пункту,включающий в себя статистическую обработку данных, иллюстрации</t>
  </si>
  <si>
    <t>согласно п.4.3</t>
  </si>
  <si>
    <t>5.6</t>
  </si>
  <si>
    <t>Справочные данные о наличии / отсутствии стационарных постов наблюдений за состоянием окружающей среды</t>
  </si>
  <si>
    <t>Разработка комплекса НМУ для источника выбросов; прогноз неблагоприятных метеорологических условий 1-й (2-й - 3-й) степени опасности (Прогноз НМУ), подготовленный на основании ежедневного анализа синоптической ситуации, метеорологических условий, данных об уровне загрязнения атмосферного воздуха или комплекса НМУ для одного объекта за 1 месяц</t>
  </si>
  <si>
    <t>Слой стока половодья (паводка), 1 характеристика за период наблюдений</t>
  </si>
  <si>
    <t>- среднее значение за период от 2 до 10 лет (при наличии продолжительности ряда наблюдений)</t>
  </si>
  <si>
    <t>- среднее значение за период от 11 до 20 лет (при наличии продолжительности ряда наблюдений), продолжительность половодья</t>
  </si>
  <si>
    <t>- среднее значение за период от 21 до 50 лет (при наличии продолжительности ряда наблюдений), продолжительность половодья</t>
  </si>
  <si>
    <t>- среднее значение за период более 50 лет (при наличии продолжительности ряда наблюдений), продолжительность половодья</t>
  </si>
  <si>
    <t>- продолжительность половодья за год</t>
  </si>
  <si>
    <t>Максимальный суммарный слой стока воды за период весеннего половодья различной обеспеченности при наличии материалов наблюдений (расчетный)</t>
  </si>
  <si>
    <t>- наибольший 1% обеспеченности</t>
  </si>
  <si>
    <t>- наибольший 1%, 3%, 10% обеспеченности</t>
  </si>
  <si>
    <t>- дата начала (окончания) осенне-зимних ледовых явлений</t>
  </si>
  <si>
    <t>- дата начала (окончания) весенних ледовых явлений (разрушение ледостава), за год</t>
  </si>
  <si>
    <t>- среднее значение за период от 2 до 10 лет (при наличии продолжительности ряда наблюдений), (дата ранняя, средняя, поздняя)</t>
  </si>
  <si>
    <t>- среднее значение за период от 11 до 20 лет (при наличии продолжительности ряда наблюдений), (дата ранняя, средняя, поздняя)</t>
  </si>
  <si>
    <t>- среднее значение за период от 21 до 50 лет (при наличии продолжительности ряда наблюдений), (дата ранняя, средняя, поздняя)</t>
  </si>
  <si>
    <t>- среднее значение за период более 50 лет (при наличии продолжительности ряда наблюдений), (дата ранняя, средняя, поздняя)</t>
  </si>
  <si>
    <t>3.2.1.18</t>
  </si>
  <si>
    <t>3.2.1.19</t>
  </si>
  <si>
    <t xml:space="preserve">цена определяется по соглашению сторон в соответствии с запросом Заказчика </t>
  </si>
  <si>
    <t>Предоставление  фактической гидрометеорологической информации с государственной сети наблюдений в оперативном режиме</t>
  </si>
  <si>
    <t xml:space="preserve">Расчет средних многолетних и экстремальных значений метеорологических параметров, их повторяемости за различные периоды  </t>
  </si>
  <si>
    <t>"_____"_______________2022 г.</t>
  </si>
  <si>
    <t xml:space="preserve">(с 01.01.2023г., без НДС) </t>
  </si>
  <si>
    <r>
      <t xml:space="preserve">Цена единицы информации  </t>
    </r>
    <r>
      <rPr>
        <b/>
        <sz val="11"/>
        <rFont val="Times New Roman"/>
        <family val="1"/>
      </rPr>
      <t>2023 года</t>
    </r>
    <r>
      <rPr>
        <sz val="11"/>
        <rFont val="Times New Roman"/>
        <family val="1"/>
      </rPr>
      <t xml:space="preserve"> (руб.) (без НДС) </t>
    </r>
  </si>
  <si>
    <t>Предупреждение о переходе предприятий на соответствующий режим работы в период НМУ, в том числе архивные данные</t>
  </si>
  <si>
    <t>- сроков вскрытия рек (весной), очищения водохранилищ</t>
  </si>
  <si>
    <t>Выполнение рекогносцировочного обследования и гидрометрических работ в месте водопользования, ширина водного объекта до 50 м., 1 створ, в том числе определение наличия, отсутствия водного объекта, для внесения в ГВР, для расчета НДС</t>
  </si>
  <si>
    <t>Выполнение рекогносцировочного обследования и гидрометрических работ в месте водопользования, ширина водного объекта до 50-100 м., 1 створ, в том числе для расчета НДС</t>
  </si>
  <si>
    <t>Выполнение рекогносцировочного обследования и гидрометрических работ в месте водопользования, ширина водного объекта более 100 м., 1 створ, в том числе для расчета НДС</t>
  </si>
  <si>
    <t>1.1.13</t>
  </si>
  <si>
    <t>Оперативное обследование пострадавших объектов в отдельных муниципальных образованиях или хозяйствующих субъектах, с выдачей экспертно-аналитического заключения об опасных гидрометеорологических явлениях (ОЯ) или комплексах гидрометеорологических явлений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</si>
</sst>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Arial Cyr"/>
      <charset val="204"/>
    </font>
    <font>
      <sz val="11"/>
      <color indexed="8"/>
      <name val="Times New Roman"/>
      <family val="1"/>
    </font>
    <font>
      <sz val="10"/>
      <color indexed="8"/>
      <name val="Arial Cyr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6"/>
      <color indexed="8"/>
      <name val="Times New Roman"/>
      <family val="1"/>
    </font>
    <font>
      <sz val="7"/>
      <name val="Times New Roman"/>
      <family val="1"/>
      <charset val="204"/>
    </font>
    <font>
      <sz val="10"/>
      <name val="Arial Cyr"/>
      <charset val="204"/>
    </font>
    <font>
      <sz val="8"/>
      <color indexed="57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/>
    <xf numFmtId="0" fontId="10" fillId="0" borderId="0" xfId="0" applyFont="1"/>
    <xf numFmtId="0" fontId="0" fillId="0" borderId="0" xfId="0" applyAlignment="1">
      <alignment horizontal="justify"/>
    </xf>
    <xf numFmtId="0" fontId="4" fillId="2" borderId="0" xfId="0" applyFont="1" applyFill="1" applyAlignment="1">
      <alignment horizontal="center" vertical="top" wrapText="1"/>
    </xf>
    <xf numFmtId="2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15" fillId="0" borderId="0" xfId="0" applyFont="1"/>
    <xf numFmtId="2" fontId="14" fillId="0" borderId="0" xfId="0" applyNumberFormat="1" applyFont="1" applyAlignment="1">
      <alignment horizontal="center"/>
    </xf>
    <xf numFmtId="49" fontId="13" fillId="0" borderId="1" xfId="0" applyNumberFormat="1" applyFont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 wrapText="1" shrinkToFit="1"/>
    </xf>
    <xf numFmtId="1" fontId="13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/>
    </xf>
    <xf numFmtId="1" fontId="20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vertical="top"/>
    </xf>
    <xf numFmtId="49" fontId="13" fillId="0" borderId="1" xfId="0" applyNumberFormat="1" applyFont="1" applyBorder="1" applyAlignment="1">
      <alignment horizontal="justify" vertical="top"/>
    </xf>
    <xf numFmtId="2" fontId="13" fillId="2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/>
    </xf>
    <xf numFmtId="2" fontId="13" fillId="0" borderId="1" xfId="0" applyNumberFormat="1" applyFont="1" applyBorder="1"/>
    <xf numFmtId="1" fontId="13" fillId="0" borderId="1" xfId="0" applyNumberFormat="1" applyFont="1" applyBorder="1"/>
    <xf numFmtId="165" fontId="4" fillId="0" borderId="1" xfId="0" applyNumberFormat="1" applyFont="1" applyBorder="1"/>
    <xf numFmtId="2" fontId="13" fillId="0" borderId="1" xfId="0" applyNumberFormat="1" applyFont="1" applyBorder="1" applyAlignment="1">
      <alignment vertical="top"/>
    </xf>
    <xf numFmtId="1" fontId="13" fillId="0" borderId="1" xfId="0" applyNumberFormat="1" applyFont="1" applyBorder="1" applyAlignment="1">
      <alignment vertical="top"/>
    </xf>
    <xf numFmtId="166" fontId="1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6" fontId="13" fillId="0" borderId="1" xfId="0" applyNumberFormat="1" applyFont="1" applyBorder="1" applyAlignment="1">
      <alignment horizontal="center" vertical="top"/>
    </xf>
    <xf numFmtId="165" fontId="27" fillId="0" borderId="1" xfId="0" applyNumberFormat="1" applyFont="1" applyBorder="1" applyAlignment="1">
      <alignment horizontal="center" vertical="top"/>
    </xf>
    <xf numFmtId="165" fontId="18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3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49" fontId="23" fillId="0" borderId="1" xfId="0" applyNumberFormat="1" applyFont="1" applyBorder="1" applyAlignment="1">
      <alignment horizontal="justify" vertical="top" wrapText="1"/>
    </xf>
    <xf numFmtId="1" fontId="21" fillId="0" borderId="1" xfId="0" applyNumberFormat="1" applyFont="1" applyBorder="1" applyAlignment="1">
      <alignment horizontal="center" vertical="top"/>
    </xf>
    <xf numFmtId="49" fontId="20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165" fontId="21" fillId="0" borderId="1" xfId="0" applyNumberFormat="1" applyFont="1" applyBorder="1" applyAlignment="1">
      <alignment horizontal="center" vertical="top"/>
    </xf>
    <xf numFmtId="0" fontId="0" fillId="0" borderId="1" xfId="0" applyBorder="1"/>
    <xf numFmtId="1" fontId="13" fillId="2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49" fontId="13" fillId="2" borderId="1" xfId="0" applyNumberFormat="1" applyFont="1" applyFill="1" applyBorder="1" applyAlignment="1">
      <alignment horizontal="justify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165" fontId="24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1" fontId="0" fillId="0" borderId="1" xfId="0" applyNumberFormat="1" applyBorder="1"/>
    <xf numFmtId="0" fontId="4" fillId="0" borderId="0" xfId="0" applyFont="1" applyAlignment="1">
      <alignment vertical="justify" wrapText="1"/>
    </xf>
    <xf numFmtId="1" fontId="13" fillId="0" borderId="1" xfId="0" applyNumberFormat="1" applyFont="1" applyBorder="1" applyAlignment="1">
      <alignment horizontal="center" vertical="top" wrapText="1"/>
    </xf>
    <xf numFmtId="165" fontId="25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49" fontId="13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13" fillId="0" borderId="3" xfId="0" applyFont="1" applyBorder="1"/>
    <xf numFmtId="0" fontId="8" fillId="0" borderId="1" xfId="0" applyFont="1" applyBorder="1"/>
    <xf numFmtId="0" fontId="26" fillId="0" borderId="1" xfId="0" applyFont="1" applyBorder="1"/>
    <xf numFmtId="165" fontId="28" fillId="0" borderId="1" xfId="0" applyNumberFormat="1" applyFont="1" applyBorder="1" applyAlignment="1">
      <alignment horizontal="center" vertical="top"/>
    </xf>
    <xf numFmtId="166" fontId="21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49" fontId="13" fillId="0" borderId="3" xfId="0" applyNumberFormat="1" applyFont="1" applyBorder="1"/>
    <xf numFmtId="0" fontId="29" fillId="0" borderId="0" xfId="0" applyFont="1"/>
    <xf numFmtId="49" fontId="3" fillId="0" borderId="0" xfId="0" applyNumberFormat="1" applyFont="1" applyAlignment="1">
      <alignment wrapText="1"/>
    </xf>
    <xf numFmtId="0" fontId="16" fillId="0" borderId="7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13" fillId="0" borderId="2" xfId="0" applyNumberFormat="1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49" fontId="13" fillId="0" borderId="3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horizontal="justify" vertical="top" wrapText="1"/>
    </xf>
    <xf numFmtId="49" fontId="13" fillId="0" borderId="1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justify" wrapText="1"/>
    </xf>
    <xf numFmtId="49" fontId="9" fillId="0" borderId="3" xfId="0" applyNumberFormat="1" applyFont="1" applyBorder="1"/>
    <xf numFmtId="0" fontId="13" fillId="0" borderId="0" xfId="0" applyFont="1" applyAlignment="1">
      <alignment vertical="top" wrapText="1"/>
    </xf>
    <xf numFmtId="49" fontId="13" fillId="0" borderId="4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3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horizontal="center" vertical="top"/>
    </xf>
    <xf numFmtId="1" fontId="13" fillId="4" borderId="1" xfId="0" applyNumberFormat="1" applyFont="1" applyFill="1" applyBorder="1" applyAlignment="1">
      <alignment horizontal="center" vertical="top"/>
    </xf>
    <xf numFmtId="49" fontId="13" fillId="4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justify" textRotation="135" wrapText="1"/>
    </xf>
    <xf numFmtId="1" fontId="9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/>
    <xf numFmtId="1" fontId="4" fillId="0" borderId="6" xfId="0" applyNumberFormat="1" applyFont="1" applyBorder="1" applyAlignment="1">
      <alignment horizontal="center"/>
    </xf>
    <xf numFmtId="1" fontId="20" fillId="5" borderId="1" xfId="0" applyNumberFormat="1" applyFont="1" applyFill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 vertical="top"/>
    </xf>
    <xf numFmtId="2" fontId="20" fillId="5" borderId="1" xfId="0" applyNumberFormat="1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justify" vertical="top" wrapText="1"/>
    </xf>
    <xf numFmtId="49" fontId="20" fillId="4" borderId="1" xfId="0" applyNumberFormat="1" applyFont="1" applyFill="1" applyBorder="1" applyAlignment="1">
      <alignment horizontal="justify" vertical="top" wrapText="1"/>
    </xf>
    <xf numFmtId="1" fontId="20" fillId="4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center" vertical="top" wrapText="1"/>
    </xf>
    <xf numFmtId="2" fontId="20" fillId="4" borderId="1" xfId="0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horizontal="justify" vertical="top"/>
    </xf>
    <xf numFmtId="49" fontId="20" fillId="4" borderId="1" xfId="0" applyNumberFormat="1" applyFont="1" applyFill="1" applyBorder="1" applyAlignment="1">
      <alignment horizontal="left" vertical="top" wrapText="1"/>
    </xf>
    <xf numFmtId="2" fontId="20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justify" vertical="top" wrapText="1"/>
    </xf>
    <xf numFmtId="166" fontId="13" fillId="4" borderId="1" xfId="0" applyNumberFormat="1" applyFont="1" applyFill="1" applyBorder="1" applyAlignment="1">
      <alignment horizontal="center" vertical="top"/>
    </xf>
    <xf numFmtId="49" fontId="13" fillId="4" borderId="1" xfId="0" applyNumberFormat="1" applyFont="1" applyFill="1" applyBorder="1" applyAlignment="1">
      <alignment vertical="top" wrapText="1"/>
    </xf>
    <xf numFmtId="0" fontId="13" fillId="0" borderId="6" xfId="0" applyFont="1" applyBorder="1" applyAlignment="1">
      <alignment horizontal="justify" vertical="top" wrapText="1"/>
    </xf>
    <xf numFmtId="0" fontId="13" fillId="0" borderId="6" xfId="0" applyFont="1" applyBorder="1"/>
    <xf numFmtId="1" fontId="20" fillId="0" borderId="6" xfId="0" applyNumberFormat="1" applyFont="1" applyBorder="1" applyAlignment="1">
      <alignment horizontal="center" vertical="top"/>
    </xf>
    <xf numFmtId="0" fontId="0" fillId="0" borderId="3" xfId="0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4" fillId="0" borderId="10" xfId="0" applyNumberFormat="1" applyFont="1" applyBorder="1" applyAlignment="1">
      <alignment vertical="top"/>
    </xf>
    <xf numFmtId="0" fontId="0" fillId="0" borderId="10" xfId="0" applyBorder="1"/>
    <xf numFmtId="0" fontId="0" fillId="0" borderId="15" xfId="0" applyBorder="1"/>
    <xf numFmtId="0" fontId="19" fillId="0" borderId="13" xfId="0" applyFont="1" applyBorder="1" applyAlignment="1">
      <alignment horizontal="justify" vertical="top" wrapText="1"/>
    </xf>
    <xf numFmtId="0" fontId="0" fillId="0" borderId="12" xfId="0" applyBorder="1"/>
    <xf numFmtId="0" fontId="5" fillId="0" borderId="12" xfId="0" applyFont="1" applyBorder="1"/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3" fillId="0" borderId="10" xfId="0" applyFont="1" applyBorder="1" applyAlignment="1">
      <alignment horizontal="justify"/>
    </xf>
    <xf numFmtId="49" fontId="4" fillId="0" borderId="6" xfId="0" applyNumberFormat="1" applyFont="1" applyBorder="1" applyAlignment="1">
      <alignment vertical="top"/>
    </xf>
    <xf numFmtId="1" fontId="20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3" fillId="0" borderId="13" xfId="0" applyNumberFormat="1" applyFont="1" applyBorder="1" applyAlignment="1">
      <alignment horizontal="justify" vertical="top" wrapText="1"/>
    </xf>
    <xf numFmtId="49" fontId="13" fillId="0" borderId="6" xfId="0" applyNumberFormat="1" applyFont="1" applyBorder="1" applyAlignment="1">
      <alignment horizontal="justify" vertical="top" wrapText="1"/>
    </xf>
    <xf numFmtId="0" fontId="13" fillId="0" borderId="6" xfId="0" applyFont="1" applyBorder="1" applyAlignment="1">
      <alignment vertical="top"/>
    </xf>
    <xf numFmtId="2" fontId="13" fillId="0" borderId="6" xfId="0" applyNumberFormat="1" applyFont="1" applyBorder="1" applyAlignment="1">
      <alignment horizontal="center" vertical="top"/>
    </xf>
    <xf numFmtId="1" fontId="13" fillId="0" borderId="6" xfId="0" applyNumberFormat="1" applyFont="1" applyBorder="1" applyAlignment="1">
      <alignment horizontal="center" vertical="top"/>
    </xf>
    <xf numFmtId="166" fontId="13" fillId="0" borderId="6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justify" vertical="top" wrapText="1"/>
    </xf>
    <xf numFmtId="49" fontId="13" fillId="0" borderId="5" xfId="0" applyNumberFormat="1" applyFont="1" applyBorder="1" applyAlignment="1">
      <alignment horizontal="justify" vertical="top" wrapText="1"/>
    </xf>
    <xf numFmtId="2" fontId="13" fillId="0" borderId="5" xfId="0" applyNumberFormat="1" applyFont="1" applyBorder="1" applyAlignment="1">
      <alignment horizontal="center" vertical="top"/>
    </xf>
    <xf numFmtId="1" fontId="13" fillId="0" borderId="5" xfId="0" applyNumberFormat="1" applyFont="1" applyBorder="1" applyAlignment="1">
      <alignment horizontal="center" vertical="top"/>
    </xf>
    <xf numFmtId="1" fontId="20" fillId="0" borderId="5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top"/>
    </xf>
    <xf numFmtId="165" fontId="11" fillId="0" borderId="5" xfId="0" applyNumberFormat="1" applyFont="1" applyBorder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166" fontId="13" fillId="0" borderId="0" xfId="0" applyNumberFormat="1" applyFont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0" fontId="0" fillId="0" borderId="7" xfId="0" applyBorder="1"/>
    <xf numFmtId="1" fontId="13" fillId="0" borderId="6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vertical="top"/>
    </xf>
    <xf numFmtId="0" fontId="0" fillId="0" borderId="5" xfId="0" applyBorder="1"/>
    <xf numFmtId="0" fontId="5" fillId="0" borderId="5" xfId="0" applyFont="1" applyBorder="1"/>
    <xf numFmtId="1" fontId="0" fillId="0" borderId="5" xfId="0" applyNumberFormat="1" applyBorder="1"/>
    <xf numFmtId="1" fontId="20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13" fillId="0" borderId="6" xfId="0" applyFont="1" applyBorder="1" applyAlignment="1">
      <alignment horizontal="justify" vertical="top"/>
    </xf>
    <xf numFmtId="2" fontId="4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justify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/>
    </xf>
    <xf numFmtId="165" fontId="18" fillId="0" borderId="6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justify" vertical="top" wrapText="1"/>
    </xf>
    <xf numFmtId="2" fontId="13" fillId="0" borderId="5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left" vertical="top"/>
    </xf>
    <xf numFmtId="49" fontId="13" fillId="0" borderId="15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7" xfId="0" applyFont="1" applyBorder="1"/>
    <xf numFmtId="49" fontId="13" fillId="0" borderId="10" xfId="0" applyNumberFormat="1" applyFont="1" applyBorder="1" applyAlignment="1">
      <alignment horizontal="justify"/>
    </xf>
    <xf numFmtId="49" fontId="29" fillId="0" borderId="1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5" fillId="0" borderId="8" xfId="0" applyFont="1" applyBorder="1"/>
    <xf numFmtId="1" fontId="0" fillId="0" borderId="15" xfId="0" applyNumberFormat="1" applyBorder="1" applyAlignment="1">
      <alignment horizontal="center"/>
    </xf>
    <xf numFmtId="0" fontId="0" fillId="0" borderId="8" xfId="0" applyBorder="1"/>
    <xf numFmtId="1" fontId="0" fillId="4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/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49" fontId="13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13" fillId="0" borderId="8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9" fontId="13" fillId="4" borderId="1" xfId="0" applyNumberFormat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49" fontId="13" fillId="0" borderId="6" xfId="0" applyNumberFormat="1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13" fillId="0" borderId="7" xfId="0" applyFont="1" applyBorder="1" applyAlignment="1">
      <alignment horizontal="center" vertical="top" wrapText="1"/>
    </xf>
    <xf numFmtId="2" fontId="13" fillId="0" borderId="7" xfId="0" applyNumberFormat="1" applyFont="1" applyBorder="1" applyAlignment="1">
      <alignment horizontal="center" vertical="top"/>
    </xf>
    <xf numFmtId="1" fontId="13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justify" vertical="top" wrapText="1"/>
    </xf>
    <xf numFmtId="49" fontId="13" fillId="0" borderId="7" xfId="0" applyNumberFormat="1" applyFont="1" applyBorder="1" applyAlignment="1">
      <alignment horizontal="justify" vertical="top" wrapText="1"/>
    </xf>
    <xf numFmtId="1" fontId="13" fillId="0" borderId="7" xfId="0" applyNumberFormat="1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5" fillId="0" borderId="7" xfId="0" applyFont="1" applyBorder="1"/>
    <xf numFmtId="1" fontId="0" fillId="0" borderId="7" xfId="0" applyNumberFormat="1" applyBorder="1"/>
    <xf numFmtId="1" fontId="13" fillId="0" borderId="2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13" fillId="0" borderId="12" xfId="0" applyFont="1" applyBorder="1"/>
    <xf numFmtId="2" fontId="13" fillId="0" borderId="12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 vertical="top"/>
    </xf>
    <xf numFmtId="166" fontId="13" fillId="0" borderId="12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vertical="top"/>
    </xf>
    <xf numFmtId="2" fontId="13" fillId="0" borderId="7" xfId="0" applyNumberFormat="1" applyFont="1" applyBorder="1" applyAlignment="1">
      <alignment horizontal="center" vertical="top" wrapText="1"/>
    </xf>
    <xf numFmtId="1" fontId="13" fillId="0" borderId="7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top"/>
    </xf>
    <xf numFmtId="49" fontId="20" fillId="0" borderId="8" xfId="0" applyNumberFormat="1" applyFont="1" applyBorder="1" applyAlignment="1">
      <alignment horizontal="justify" vertical="top" wrapText="1"/>
    </xf>
    <xf numFmtId="2" fontId="20" fillId="0" borderId="7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/>
    </xf>
    <xf numFmtId="1" fontId="20" fillId="0" borderId="7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justify" vertical="center" wrapText="1"/>
    </xf>
    <xf numFmtId="2" fontId="13" fillId="0" borderId="3" xfId="0" applyNumberFormat="1" applyFont="1" applyBorder="1" applyAlignment="1">
      <alignment horizontal="center" vertical="top"/>
    </xf>
    <xf numFmtId="1" fontId="13" fillId="0" borderId="3" xfId="0" applyNumberFormat="1" applyFont="1" applyBorder="1" applyAlignment="1">
      <alignment horizontal="center" vertical="top"/>
    </xf>
    <xf numFmtId="1" fontId="13" fillId="0" borderId="14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49" fontId="33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top" wrapText="1"/>
    </xf>
    <xf numFmtId="0" fontId="3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49" fontId="9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right"/>
    </xf>
    <xf numFmtId="49" fontId="33" fillId="0" borderId="0" xfId="0" applyNumberFormat="1" applyFont="1" applyAlignment="1">
      <alignment horizontal="right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0" borderId="8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horizontal="left" vertical="center" wrapText="1"/>
    </xf>
    <xf numFmtId="49" fontId="13" fillId="4" borderId="7" xfId="0" applyNumberFormat="1" applyFont="1" applyFill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9" fillId="0" borderId="15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0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2" fontId="19" fillId="0" borderId="8" xfId="0" applyNumberFormat="1" applyFont="1" applyBorder="1" applyAlignment="1">
      <alignment horizontal="center" vertical="top"/>
    </xf>
    <xf numFmtId="2" fontId="19" fillId="0" borderId="3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49" fontId="13" fillId="0" borderId="8" xfId="0" applyNumberFormat="1" applyFont="1" applyBorder="1" applyAlignment="1">
      <alignment horizontal="left" vertical="top"/>
    </xf>
    <xf numFmtId="49" fontId="13" fillId="0" borderId="7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49" fontId="13" fillId="0" borderId="6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vertical="top"/>
    </xf>
    <xf numFmtId="164" fontId="19" fillId="0" borderId="8" xfId="1" applyFont="1" applyBorder="1" applyAlignment="1">
      <alignment horizontal="center" vertical="top" wrapText="1"/>
    </xf>
    <xf numFmtId="164" fontId="19" fillId="0" borderId="7" xfId="1" applyFont="1" applyBorder="1" applyAlignment="1">
      <alignment horizontal="center" vertical="top" wrapText="1"/>
    </xf>
    <xf numFmtId="164" fontId="19" fillId="0" borderId="2" xfId="1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9" fontId="19" fillId="0" borderId="8" xfId="0" applyNumberFormat="1" applyFont="1" applyBorder="1" applyAlignment="1">
      <alignment horizontal="center" vertical="top"/>
    </xf>
    <xf numFmtId="49" fontId="19" fillId="0" borderId="7" xfId="0" applyNumberFormat="1" applyFont="1" applyBorder="1" applyAlignment="1">
      <alignment horizontal="center" vertical="top"/>
    </xf>
    <xf numFmtId="49" fontId="19" fillId="0" borderId="2" xfId="0" applyNumberFormat="1" applyFont="1" applyBorder="1" applyAlignment="1">
      <alignment horizontal="center" vertical="top"/>
    </xf>
    <xf numFmtId="49" fontId="13" fillId="4" borderId="1" xfId="0" applyNumberFormat="1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9" fontId="13" fillId="4" borderId="8" xfId="0" applyNumberFormat="1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49" fontId="0" fillId="4" borderId="6" xfId="0" applyNumberFormat="1" applyFill="1" applyBorder="1" applyAlignment="1">
      <alignment horizontal="left" vertical="top"/>
    </xf>
    <xf numFmtId="49" fontId="0" fillId="4" borderId="5" xfId="0" applyNumberFormat="1" applyFill="1" applyBorder="1" applyAlignment="1">
      <alignment horizontal="left" vertical="top"/>
    </xf>
    <xf numFmtId="49" fontId="13" fillId="4" borderId="7" xfId="0" applyNumberFormat="1" applyFont="1" applyFill="1" applyBorder="1" applyAlignment="1">
      <alignment horizontal="left" vertical="top" wrapText="1"/>
    </xf>
    <xf numFmtId="49" fontId="13" fillId="4" borderId="2" xfId="0" applyNumberFormat="1" applyFont="1" applyFill="1" applyBorder="1" applyAlignment="1">
      <alignment horizontal="left" vertical="top" wrapText="1"/>
    </xf>
    <xf numFmtId="49" fontId="19" fillId="0" borderId="8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49" fontId="13" fillId="0" borderId="5" xfId="0" applyNumberFormat="1" applyFont="1" applyBorder="1" applyAlignment="1">
      <alignment horizontal="left" vertical="top"/>
    </xf>
    <xf numFmtId="49" fontId="13" fillId="4" borderId="8" xfId="0" applyNumberFormat="1" applyFont="1" applyFill="1" applyBorder="1" applyAlignment="1">
      <alignment horizontal="left" vertical="top"/>
    </xf>
    <xf numFmtId="49" fontId="13" fillId="4" borderId="7" xfId="0" applyNumberFormat="1" applyFont="1" applyFill="1" applyBorder="1" applyAlignment="1">
      <alignment horizontal="left" vertical="top"/>
    </xf>
    <xf numFmtId="49" fontId="13" fillId="4" borderId="2" xfId="0" applyNumberFormat="1" applyFont="1" applyFill="1" applyBorder="1" applyAlignment="1">
      <alignment horizontal="left" vertical="top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49" fontId="13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9" fillId="4" borderId="15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vertical="top"/>
    </xf>
    <xf numFmtId="49" fontId="19" fillId="0" borderId="8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4" fillId="4" borderId="6" xfId="0" applyNumberFormat="1" applyFont="1" applyFill="1" applyBorder="1" applyAlignment="1">
      <alignment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7"/>
  <sheetViews>
    <sheetView tabSelected="1" topLeftCell="A4" workbookViewId="0">
      <selection activeCell="X23" sqref="X23"/>
    </sheetView>
  </sheetViews>
  <sheetFormatPr defaultRowHeight="15" x14ac:dyDescent="0.25"/>
  <cols>
    <col min="1" max="1" width="10" customWidth="1"/>
    <col min="2" max="2" width="84.85546875" customWidth="1"/>
    <col min="3" max="3" width="9.140625" hidden="1" customWidth="1"/>
    <col min="4" max="4" width="2.85546875" hidden="1" customWidth="1"/>
    <col min="5" max="5" width="14" style="12" hidden="1" customWidth="1"/>
    <col min="6" max="6" width="11.140625" hidden="1" customWidth="1"/>
    <col min="7" max="7" width="11.140625" style="26" hidden="1" customWidth="1"/>
    <col min="8" max="8" width="11.85546875" style="26" hidden="1" customWidth="1"/>
    <col min="9" max="9" width="11.140625" style="26" hidden="1" customWidth="1"/>
    <col min="10" max="10" width="12" style="26" hidden="1" customWidth="1"/>
    <col min="11" max="11" width="7.5703125" style="26" hidden="1" customWidth="1"/>
    <col min="12" max="12" width="10.42578125" style="26" hidden="1" customWidth="1"/>
    <col min="13" max="13" width="10.5703125" style="26" hidden="1" customWidth="1"/>
    <col min="14" max="14" width="14.5703125" style="26" hidden="1" customWidth="1"/>
    <col min="15" max="15" width="0" style="26" hidden="1" customWidth="1"/>
    <col min="16" max="16" width="13.5703125" style="26" hidden="1" customWidth="1"/>
    <col min="17" max="17" width="11.140625" style="26" hidden="1" customWidth="1"/>
    <col min="18" max="18" width="16.42578125" style="26" hidden="1" customWidth="1"/>
    <col min="19" max="19" width="13.140625" hidden="1" customWidth="1"/>
    <col min="20" max="20" width="8.42578125" hidden="1" customWidth="1"/>
    <col min="21" max="22" width="15.42578125" style="11" hidden="1" customWidth="1"/>
    <col min="23" max="23" width="0.140625" customWidth="1"/>
    <col min="24" max="24" width="19.28515625" customWidth="1"/>
    <col min="25" max="25" width="14.5703125" customWidth="1"/>
  </cols>
  <sheetData>
    <row r="1" spans="1:22" ht="18.75" x14ac:dyDescent="0.3">
      <c r="A1" s="341" t="s">
        <v>812</v>
      </c>
      <c r="B1" s="341"/>
      <c r="C1" s="341"/>
      <c r="D1" s="341"/>
      <c r="E1" s="341"/>
      <c r="F1" s="341"/>
      <c r="G1" s="341"/>
      <c r="H1" s="341"/>
      <c r="I1" s="341"/>
      <c r="J1" s="341"/>
      <c r="K1" s="118"/>
      <c r="L1" s="118"/>
      <c r="M1" s="122"/>
      <c r="N1" s="122"/>
      <c r="O1" s="118"/>
      <c r="P1" s="118"/>
      <c r="Q1"/>
      <c r="R1"/>
      <c r="U1"/>
      <c r="V1"/>
    </row>
    <row r="2" spans="1:22" ht="18.75" x14ac:dyDescent="0.3">
      <c r="A2" s="342" t="s">
        <v>813</v>
      </c>
      <c r="B2" s="342"/>
      <c r="C2" s="342"/>
      <c r="D2" s="342"/>
      <c r="E2" s="342"/>
      <c r="F2" s="342"/>
      <c r="G2" s="342"/>
      <c r="H2" s="342"/>
      <c r="I2" s="342"/>
      <c r="J2" s="342"/>
      <c r="K2" s="117"/>
      <c r="L2" s="117"/>
      <c r="M2" s="123"/>
      <c r="N2" s="123"/>
      <c r="O2" s="117"/>
      <c r="P2" s="117"/>
      <c r="U2"/>
      <c r="V2"/>
    </row>
    <row r="3" spans="1:22" ht="15.75" x14ac:dyDescent="0.2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117"/>
      <c r="L3" s="117"/>
      <c r="M3" s="123"/>
      <c r="N3" s="123"/>
      <c r="O3" s="117"/>
      <c r="P3" s="117"/>
      <c r="Q3"/>
      <c r="R3"/>
      <c r="U3"/>
      <c r="V3"/>
    </row>
    <row r="4" spans="1:22" ht="18.75" x14ac:dyDescent="0.3">
      <c r="A4" s="343" t="s">
        <v>814</v>
      </c>
      <c r="B4" s="343"/>
      <c r="C4" s="343"/>
      <c r="D4" s="343"/>
      <c r="E4" s="343"/>
      <c r="F4" s="343"/>
      <c r="G4" s="343"/>
      <c r="H4" s="343"/>
      <c r="I4" s="343"/>
      <c r="J4" s="343"/>
      <c r="K4" s="117"/>
      <c r="L4" s="117"/>
      <c r="M4" s="117"/>
      <c r="N4" s="117"/>
      <c r="O4" s="117"/>
      <c r="P4" s="117"/>
      <c r="Q4"/>
      <c r="R4"/>
      <c r="U4"/>
      <c r="V4"/>
    </row>
    <row r="5" spans="1:22" ht="18.75" x14ac:dyDescent="0.3">
      <c r="A5" s="295"/>
      <c r="B5" s="330" t="s">
        <v>1013</v>
      </c>
      <c r="C5" s="295"/>
      <c r="D5" s="295"/>
      <c r="E5" s="295"/>
      <c r="F5" s="295"/>
      <c r="G5" s="295"/>
      <c r="H5" s="295"/>
      <c r="I5" s="295"/>
      <c r="J5" s="295"/>
      <c r="K5" s="117"/>
      <c r="L5" s="117"/>
      <c r="M5" s="117"/>
      <c r="N5" s="117"/>
      <c r="O5" s="117"/>
      <c r="P5" s="117"/>
      <c r="Q5"/>
      <c r="R5"/>
      <c r="U5"/>
      <c r="V5"/>
    </row>
    <row r="6" spans="1:22" ht="12.75" x14ac:dyDescent="0.2">
      <c r="A6" s="16"/>
      <c r="B6" s="9"/>
      <c r="C6" s="9"/>
      <c r="D6" s="9"/>
      <c r="E6" s="9"/>
      <c r="F6" s="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9"/>
      <c r="T6" s="9"/>
      <c r="U6" s="9"/>
      <c r="V6" s="9"/>
    </row>
    <row r="7" spans="1:22" ht="18.75" x14ac:dyDescent="0.25">
      <c r="A7" s="336" t="s">
        <v>375</v>
      </c>
      <c r="B7" s="336"/>
      <c r="C7" s="336"/>
      <c r="D7" s="336"/>
      <c r="E7" s="336"/>
      <c r="F7" s="336"/>
      <c r="G7" s="336"/>
      <c r="H7" s="336"/>
      <c r="I7" s="336"/>
      <c r="J7" s="336"/>
    </row>
    <row r="8" spans="1:22" ht="18.75" x14ac:dyDescent="0.25">
      <c r="A8" s="336" t="s">
        <v>216</v>
      </c>
      <c r="B8" s="336"/>
      <c r="C8" s="336"/>
      <c r="D8" s="336"/>
      <c r="E8" s="336"/>
      <c r="F8" s="336"/>
      <c r="G8" s="336"/>
      <c r="H8" s="336"/>
      <c r="I8" s="336"/>
      <c r="J8" s="336"/>
    </row>
    <row r="9" spans="1:22" ht="18.75" x14ac:dyDescent="0.25">
      <c r="A9" s="336" t="s">
        <v>217</v>
      </c>
      <c r="B9" s="336"/>
      <c r="C9" s="336"/>
      <c r="D9" s="336"/>
      <c r="E9" s="336"/>
      <c r="F9" s="336"/>
      <c r="G9" s="336"/>
      <c r="H9" s="336"/>
      <c r="I9" s="336"/>
      <c r="J9" s="336"/>
    </row>
    <row r="10" spans="1:22" ht="18.75" x14ac:dyDescent="0.25">
      <c r="A10" s="336" t="s">
        <v>720</v>
      </c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22" ht="18.75" x14ac:dyDescent="0.25">
      <c r="A11" s="336" t="s">
        <v>1014</v>
      </c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22" ht="18.75" x14ac:dyDescent="0.25">
      <c r="A12" s="2"/>
      <c r="B12" s="293"/>
      <c r="C12" s="293"/>
      <c r="D12" s="1"/>
      <c r="E12" s="10"/>
    </row>
    <row r="13" spans="1:22" x14ac:dyDescent="0.2">
      <c r="A13" s="337" t="s">
        <v>815</v>
      </c>
      <c r="B13" s="337"/>
      <c r="C13" s="337"/>
      <c r="D13" s="337"/>
      <c r="E13" s="337"/>
      <c r="F13" s="337"/>
      <c r="G13" s="337"/>
      <c r="H13" s="337"/>
      <c r="I13" s="337"/>
      <c r="J13" s="338"/>
      <c r="K13" s="134"/>
      <c r="L13" s="134"/>
      <c r="M13" s="124"/>
      <c r="N13" s="124"/>
      <c r="O13" s="101"/>
      <c r="P13" s="101"/>
      <c r="Q13"/>
      <c r="R13"/>
      <c r="T13" s="19"/>
      <c r="U13" s="19"/>
      <c r="V13" s="19"/>
    </row>
    <row r="14" spans="1:22" ht="28.35" customHeight="1" x14ac:dyDescent="0.2">
      <c r="A14" s="337"/>
      <c r="B14" s="337"/>
      <c r="C14" s="337"/>
      <c r="D14" s="337"/>
      <c r="E14" s="337"/>
      <c r="F14" s="337"/>
      <c r="G14" s="337"/>
      <c r="H14" s="337"/>
      <c r="I14" s="337"/>
      <c r="J14" s="338"/>
      <c r="K14" s="134"/>
      <c r="L14" s="134"/>
      <c r="M14" s="124"/>
      <c r="N14" s="124"/>
      <c r="O14" s="101"/>
      <c r="P14" s="101"/>
      <c r="Q14"/>
      <c r="R14"/>
      <c r="T14" s="19"/>
      <c r="U14" s="19"/>
      <c r="V14" s="19"/>
    </row>
    <row r="15" spans="1:22" ht="25.35" customHeight="1" x14ac:dyDescent="0.2">
      <c r="A15" s="339" t="s">
        <v>837</v>
      </c>
      <c r="B15" s="339"/>
      <c r="C15" s="339"/>
      <c r="D15" s="339"/>
      <c r="E15" s="339"/>
      <c r="F15" s="339"/>
      <c r="G15" s="339"/>
      <c r="H15" s="339"/>
      <c r="I15" s="339"/>
      <c r="J15" s="339"/>
      <c r="K15" s="134"/>
      <c r="L15" s="134"/>
      <c r="M15" s="152"/>
      <c r="N15" s="124"/>
      <c r="O15" s="101"/>
      <c r="P15" s="101"/>
      <c r="Q15"/>
      <c r="R15"/>
      <c r="T15" s="19"/>
      <c r="U15" s="19"/>
      <c r="V15" s="19"/>
    </row>
    <row r="16" spans="1:22" ht="24.6" customHeight="1" x14ac:dyDescent="0.2">
      <c r="A16" s="339" t="s">
        <v>811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134"/>
      <c r="L16" s="134"/>
      <c r="M16" s="124"/>
      <c r="N16" s="124"/>
      <c r="O16" s="101"/>
      <c r="P16" s="101"/>
      <c r="Q16" s="101"/>
      <c r="R16" s="101"/>
      <c r="S16" s="101"/>
      <c r="T16" s="19"/>
      <c r="U16" s="19"/>
      <c r="V16" s="19"/>
    </row>
    <row r="17" spans="1:25" ht="15.6" customHeight="1" x14ac:dyDescent="0.25">
      <c r="A17" s="340" t="s">
        <v>659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135"/>
      <c r="L17" s="135"/>
      <c r="M17" s="125"/>
      <c r="N17" s="125"/>
      <c r="O17" s="116"/>
      <c r="P17" s="116"/>
      <c r="Q17" s="109"/>
      <c r="R17" s="109"/>
      <c r="S17" s="109"/>
    </row>
    <row r="18" spans="1:25" ht="60" customHeight="1" x14ac:dyDescent="0.2">
      <c r="A18" s="333" t="s">
        <v>612</v>
      </c>
      <c r="B18" s="332" t="s">
        <v>621</v>
      </c>
      <c r="C18" s="5" t="s">
        <v>613</v>
      </c>
      <c r="D18" s="4" t="s">
        <v>624</v>
      </c>
      <c r="E18" s="4" t="s">
        <v>624</v>
      </c>
      <c r="F18" s="4" t="s">
        <v>624</v>
      </c>
      <c r="G18" s="29" t="s">
        <v>280</v>
      </c>
      <c r="H18" s="153" t="s">
        <v>816</v>
      </c>
      <c r="I18" s="61" t="s">
        <v>810</v>
      </c>
      <c r="J18" s="61" t="s">
        <v>413</v>
      </c>
      <c r="K18" s="61" t="s">
        <v>412</v>
      </c>
      <c r="L18" s="61" t="s">
        <v>43</v>
      </c>
      <c r="M18" s="61" t="s">
        <v>156</v>
      </c>
      <c r="N18" s="61" t="s">
        <v>157</v>
      </c>
      <c r="O18" s="29" t="s">
        <v>107</v>
      </c>
      <c r="P18" s="61" t="s">
        <v>184</v>
      </c>
      <c r="Q18" s="29" t="s">
        <v>630</v>
      </c>
      <c r="R18" s="29" t="s">
        <v>712</v>
      </c>
      <c r="S18" s="14" t="s">
        <v>629</v>
      </c>
      <c r="T18" s="3" t="s">
        <v>631</v>
      </c>
      <c r="U18" s="14" t="s">
        <v>629</v>
      </c>
      <c r="V18" s="20"/>
      <c r="W18" s="153" t="s">
        <v>852</v>
      </c>
      <c r="X18" s="331" t="s">
        <v>1015</v>
      </c>
      <c r="Y18" s="278"/>
    </row>
    <row r="19" spans="1:25" ht="14.1" customHeight="1" x14ac:dyDescent="0.25">
      <c r="A19" s="6">
        <v>1</v>
      </c>
      <c r="B19" s="3">
        <v>2</v>
      </c>
      <c r="C19" s="6"/>
      <c r="D19" s="3">
        <v>3</v>
      </c>
      <c r="E19" s="7">
        <v>3</v>
      </c>
      <c r="F19" s="13">
        <v>3</v>
      </c>
      <c r="G19" s="28"/>
      <c r="H19" s="28">
        <v>3</v>
      </c>
      <c r="I19" s="155"/>
      <c r="J19" s="155"/>
      <c r="K19" s="28"/>
      <c r="L19" s="28"/>
      <c r="M19" s="28"/>
      <c r="N19" s="28"/>
      <c r="O19" s="28"/>
      <c r="P19" s="28"/>
      <c r="Q19" s="28"/>
      <c r="R19" s="28"/>
      <c r="S19" s="13">
        <v>3</v>
      </c>
      <c r="T19" s="13">
        <v>4</v>
      </c>
      <c r="U19" s="13">
        <v>5</v>
      </c>
      <c r="V19" s="10"/>
      <c r="W19" s="259">
        <v>3</v>
      </c>
      <c r="X19" s="105">
        <v>3</v>
      </c>
    </row>
    <row r="20" spans="1:25" ht="15.95" customHeight="1" x14ac:dyDescent="0.25">
      <c r="A20" s="353" t="s">
        <v>555</v>
      </c>
      <c r="B20" s="353"/>
      <c r="C20" s="353"/>
      <c r="D20" s="353"/>
      <c r="E20" s="353"/>
      <c r="F20" s="353"/>
      <c r="G20" s="353"/>
      <c r="H20" s="353"/>
      <c r="I20" s="353"/>
      <c r="J20" s="354"/>
      <c r="K20" s="130"/>
      <c r="L20" s="57"/>
      <c r="M20" s="57"/>
      <c r="N20" s="57"/>
      <c r="O20" s="57"/>
      <c r="P20" s="57"/>
      <c r="Q20" s="57"/>
      <c r="R20" s="57"/>
      <c r="S20" s="42"/>
      <c r="T20" s="62"/>
      <c r="U20" s="42"/>
      <c r="V20" s="10"/>
      <c r="X20" s="85"/>
    </row>
    <row r="21" spans="1:25" ht="15.75" customHeight="1" x14ac:dyDescent="0.25">
      <c r="A21" s="353" t="s">
        <v>722</v>
      </c>
      <c r="B21" s="353"/>
      <c r="C21" s="353"/>
      <c r="D21" s="353"/>
      <c r="E21" s="353"/>
      <c r="F21" s="353"/>
      <c r="G21" s="353"/>
      <c r="H21" s="353"/>
      <c r="I21" s="353"/>
      <c r="J21" s="354"/>
      <c r="K21" s="154"/>
      <c r="L21" s="64"/>
      <c r="M21" s="64"/>
      <c r="N21" s="64"/>
      <c r="O21" s="64"/>
      <c r="P21" s="64"/>
      <c r="Q21" s="64"/>
      <c r="R21" s="64"/>
      <c r="S21" s="63"/>
      <c r="T21" s="65"/>
      <c r="U21" s="63"/>
      <c r="X21" s="85"/>
    </row>
    <row r="22" spans="1:25" ht="15" customHeight="1" x14ac:dyDescent="0.25">
      <c r="A22" s="344" t="s">
        <v>46</v>
      </c>
      <c r="B22" s="356" t="s">
        <v>673</v>
      </c>
      <c r="C22" s="357"/>
      <c r="D22" s="357"/>
      <c r="E22" s="357"/>
      <c r="F22" s="357"/>
      <c r="G22" s="357"/>
      <c r="H22" s="357"/>
      <c r="I22" s="357"/>
      <c r="J22" s="358"/>
      <c r="K22" s="67"/>
      <c r="L22" s="67"/>
      <c r="M22" s="67"/>
      <c r="N22" s="67"/>
      <c r="O22" s="67"/>
      <c r="P22" s="67"/>
      <c r="Q22" s="68"/>
      <c r="R22" s="67"/>
      <c r="S22" s="66"/>
      <c r="T22" s="69"/>
      <c r="U22" s="66"/>
      <c r="W22" s="228"/>
      <c r="X22" s="85"/>
    </row>
    <row r="23" spans="1:25" ht="15" customHeight="1" x14ac:dyDescent="0.25">
      <c r="A23" s="355"/>
      <c r="B23" s="33" t="s">
        <v>675</v>
      </c>
      <c r="C23" s="46">
        <v>263</v>
      </c>
      <c r="D23" s="47">
        <v>278.3066</v>
      </c>
      <c r="E23" s="47">
        <f>ROUND(D23,0)</f>
        <v>278</v>
      </c>
      <c r="F23" s="47">
        <f>E23*1.092</f>
        <v>303.57600000000002</v>
      </c>
      <c r="G23" s="44">
        <v>335</v>
      </c>
      <c r="H23" s="44">
        <f>J23*I23</f>
        <v>519.89827680000008</v>
      </c>
      <c r="I23" s="70">
        <v>1.0620000000000001</v>
      </c>
      <c r="J23" s="44">
        <f>K23*L23</f>
        <v>489.54640000000006</v>
      </c>
      <c r="K23" s="70">
        <v>1.0640000000000001</v>
      </c>
      <c r="L23" s="44">
        <f>M23*N23</f>
        <v>460.1</v>
      </c>
      <c r="M23" s="47">
        <v>1.07</v>
      </c>
      <c r="N23" s="44">
        <v>430</v>
      </c>
      <c r="O23" s="70">
        <v>1.075</v>
      </c>
      <c r="P23" s="44">
        <f>Q23*R23</f>
        <v>400.36500000000001</v>
      </c>
      <c r="Q23" s="70">
        <v>1.085</v>
      </c>
      <c r="R23" s="44">
        <v>369</v>
      </c>
      <c r="S23" s="44">
        <f>G23*T23</f>
        <v>368.50000000000006</v>
      </c>
      <c r="T23" s="45">
        <v>1.1000000000000001</v>
      </c>
      <c r="U23" s="44">
        <f>I23*V23</f>
        <v>590.78120785891213</v>
      </c>
      <c r="V23" s="15">
        <f>H23*107%</f>
        <v>556.29115617600007</v>
      </c>
      <c r="W23" s="260">
        <f>V23</f>
        <v>556.29115617600007</v>
      </c>
      <c r="X23" s="132">
        <f>713*106.5%</f>
        <v>759.34499999999991</v>
      </c>
    </row>
    <row r="24" spans="1:25" ht="15" customHeight="1" x14ac:dyDescent="0.25">
      <c r="A24" s="355"/>
      <c r="B24" s="33" t="s">
        <v>842</v>
      </c>
      <c r="C24" s="46"/>
      <c r="D24" s="47"/>
      <c r="E24" s="47"/>
      <c r="F24" s="47"/>
      <c r="G24" s="44"/>
      <c r="H24" s="44">
        <v>980</v>
      </c>
      <c r="I24" s="70"/>
      <c r="J24" s="44"/>
      <c r="K24" s="70"/>
      <c r="L24" s="44"/>
      <c r="M24" s="47"/>
      <c r="N24" s="44"/>
      <c r="O24" s="70"/>
      <c r="P24" s="44"/>
      <c r="Q24" s="70"/>
      <c r="R24" s="44"/>
      <c r="S24" s="44"/>
      <c r="T24" s="45"/>
      <c r="U24" s="44"/>
      <c r="V24" s="15">
        <f>H24*107%</f>
        <v>1048.6000000000001</v>
      </c>
      <c r="W24" s="260">
        <f>V24</f>
        <v>1048.6000000000001</v>
      </c>
      <c r="X24" s="132">
        <f>1346*106.5%</f>
        <v>1433.49</v>
      </c>
    </row>
    <row r="25" spans="1:25" ht="15" customHeight="1" x14ac:dyDescent="0.25">
      <c r="A25" s="355"/>
      <c r="B25" s="33" t="s">
        <v>676</v>
      </c>
      <c r="C25" s="46">
        <v>458</v>
      </c>
      <c r="D25" s="47">
        <v>484.66</v>
      </c>
      <c r="E25" s="47">
        <f>ROUND(D25,0)</f>
        <v>485</v>
      </c>
      <c r="F25" s="47">
        <f>E25*1.092</f>
        <v>529.62</v>
      </c>
      <c r="G25" s="44">
        <v>583</v>
      </c>
      <c r="H25" s="44">
        <f>J25*I25</f>
        <v>903.95363260062027</v>
      </c>
      <c r="I25" s="70">
        <v>1.0620000000000001</v>
      </c>
      <c r="J25" s="44">
        <f>K25*L25</f>
        <v>851.1804450100002</v>
      </c>
      <c r="K25" s="70">
        <v>1.0640000000000001</v>
      </c>
      <c r="L25" s="44">
        <f t="shared" ref="L25:L91" si="0">M25*N25</f>
        <v>799.9816212500001</v>
      </c>
      <c r="M25" s="47">
        <v>1.07</v>
      </c>
      <c r="N25" s="44">
        <f>O25*P25</f>
        <v>747.64637500000003</v>
      </c>
      <c r="O25" s="70">
        <v>1.075</v>
      </c>
      <c r="P25" s="44">
        <f t="shared" ref="P25:P91" si="1">Q25*R25</f>
        <v>695.48500000000001</v>
      </c>
      <c r="Q25" s="70">
        <v>1.085</v>
      </c>
      <c r="R25" s="44">
        <v>641</v>
      </c>
      <c r="S25" s="44">
        <f>G25*T25</f>
        <v>641.30000000000007</v>
      </c>
      <c r="T25" s="45">
        <v>1.1000000000000001</v>
      </c>
      <c r="U25" s="44">
        <f>I25*V25</f>
        <v>1027.1986708693889</v>
      </c>
      <c r="V25" s="15">
        <f>H25*107%</f>
        <v>967.23038688266377</v>
      </c>
      <c r="W25" s="260">
        <f>V25</f>
        <v>967.23038688266377</v>
      </c>
      <c r="X25" s="132">
        <f>1240*106.5%</f>
        <v>1320.6</v>
      </c>
    </row>
    <row r="26" spans="1:25" ht="15" customHeight="1" x14ac:dyDescent="0.25">
      <c r="A26" s="355"/>
      <c r="B26" s="33" t="s">
        <v>677</v>
      </c>
      <c r="C26" s="46"/>
      <c r="D26" s="47">
        <v>253</v>
      </c>
      <c r="E26" s="47">
        <f>ROUND(D26,0)</f>
        <v>253</v>
      </c>
      <c r="F26" s="47">
        <f>E26*1.092</f>
        <v>276.27600000000001</v>
      </c>
      <c r="G26" s="44">
        <v>304</v>
      </c>
      <c r="H26" s="44">
        <f>J26*I26</f>
        <v>479.47618577880002</v>
      </c>
      <c r="I26" s="70">
        <v>1.0620000000000001</v>
      </c>
      <c r="J26" s="44">
        <f>K26*L26</f>
        <v>451.48416739999999</v>
      </c>
      <c r="K26" s="70">
        <v>1.0640000000000001</v>
      </c>
      <c r="L26" s="44">
        <f t="shared" si="0"/>
        <v>424.32722499999994</v>
      </c>
      <c r="M26" s="47">
        <v>1.07</v>
      </c>
      <c r="N26" s="44">
        <f t="shared" ref="N26:N86" si="2">O26*P26</f>
        <v>396.56749999999994</v>
      </c>
      <c r="O26" s="70">
        <v>1.075</v>
      </c>
      <c r="P26" s="44">
        <f t="shared" si="1"/>
        <v>368.9</v>
      </c>
      <c r="Q26" s="70">
        <v>1.085</v>
      </c>
      <c r="R26" s="44">
        <v>340</v>
      </c>
      <c r="S26" s="44">
        <v>340</v>
      </c>
      <c r="T26" s="71" t="s">
        <v>437</v>
      </c>
      <c r="U26" s="44">
        <v>341</v>
      </c>
      <c r="V26" s="15">
        <f>H26*107%</f>
        <v>513.039518783316</v>
      </c>
      <c r="W26" s="260">
        <f>V26</f>
        <v>513.039518783316</v>
      </c>
      <c r="X26" s="132">
        <f>657*106.5%</f>
        <v>699.70499999999993</v>
      </c>
    </row>
    <row r="27" spans="1:25" ht="15" customHeight="1" x14ac:dyDescent="0.25">
      <c r="A27" s="355"/>
      <c r="B27" s="33" t="s">
        <v>380</v>
      </c>
      <c r="C27" s="46">
        <v>664</v>
      </c>
      <c r="D27" s="47">
        <v>702.64</v>
      </c>
      <c r="E27" s="47">
        <f>ROUND(D27,0)</f>
        <v>703</v>
      </c>
      <c r="F27" s="47">
        <f>E27*1.092</f>
        <v>767.67600000000004</v>
      </c>
      <c r="G27" s="44">
        <v>845</v>
      </c>
      <c r="H27" s="44">
        <f>J27*I27</f>
        <v>1311.5083905126003</v>
      </c>
      <c r="I27" s="70">
        <v>1.0620000000000001</v>
      </c>
      <c r="J27" s="44">
        <f>K27*L27</f>
        <v>1234.9419873000002</v>
      </c>
      <c r="K27" s="70">
        <v>1.0640000000000001</v>
      </c>
      <c r="L27" s="44">
        <f t="shared" si="0"/>
        <v>1160.6597625000002</v>
      </c>
      <c r="M27" s="47">
        <v>1.07</v>
      </c>
      <c r="N27" s="44">
        <f t="shared" si="2"/>
        <v>1084.72875</v>
      </c>
      <c r="O27" s="70">
        <v>1.075</v>
      </c>
      <c r="P27" s="44">
        <f t="shared" si="1"/>
        <v>1009.05</v>
      </c>
      <c r="Q27" s="70">
        <v>1.085</v>
      </c>
      <c r="R27" s="44">
        <v>930</v>
      </c>
      <c r="S27" s="44">
        <f>G27*T27</f>
        <v>929.50000000000011</v>
      </c>
      <c r="T27" s="45">
        <v>1.1000000000000001</v>
      </c>
      <c r="U27" s="44">
        <f>I27*V27</f>
        <v>1490.3194444750884</v>
      </c>
      <c r="V27" s="15">
        <f>H27*107%</f>
        <v>1403.3139778484824</v>
      </c>
      <c r="W27" s="260">
        <f>V27</f>
        <v>1403.3139778484824</v>
      </c>
      <c r="X27" s="132">
        <f>1800*106.5%</f>
        <v>1917</v>
      </c>
    </row>
    <row r="28" spans="1:25" ht="26.45" customHeight="1" x14ac:dyDescent="0.25">
      <c r="A28" s="344" t="s">
        <v>47</v>
      </c>
      <c r="B28" s="359" t="s">
        <v>829</v>
      </c>
      <c r="C28" s="360"/>
      <c r="D28" s="360"/>
      <c r="E28" s="360"/>
      <c r="F28" s="360"/>
      <c r="G28" s="360"/>
      <c r="H28" s="360"/>
      <c r="I28" s="360"/>
      <c r="J28" s="361"/>
      <c r="K28" s="47"/>
      <c r="L28" s="44"/>
      <c r="M28" s="47"/>
      <c r="N28" s="44"/>
      <c r="O28" s="70"/>
      <c r="P28" s="44"/>
      <c r="Q28" s="70"/>
      <c r="R28" s="44"/>
      <c r="S28" s="44"/>
      <c r="T28" s="45"/>
      <c r="U28" s="44"/>
      <c r="V28" s="15"/>
      <c r="X28" s="85"/>
    </row>
    <row r="29" spans="1:25" ht="15" customHeight="1" x14ac:dyDescent="0.25">
      <c r="A29" s="348"/>
      <c r="B29" s="104" t="s">
        <v>428</v>
      </c>
      <c r="C29" s="46">
        <v>152</v>
      </c>
      <c r="D29" s="46">
        <v>160.85</v>
      </c>
      <c r="E29" s="47">
        <f>ROUND(D29,0)</f>
        <v>161</v>
      </c>
      <c r="F29" s="47">
        <f>E29*1.092</f>
        <v>175.81200000000001</v>
      </c>
      <c r="G29" s="44">
        <v>194</v>
      </c>
      <c r="H29" s="44">
        <f>J29*I29</f>
        <v>300.37772814966002</v>
      </c>
      <c r="I29" s="70">
        <v>1.0620000000000001</v>
      </c>
      <c r="J29" s="44">
        <f t="shared" ref="J29:J35" si="3">K29*L29</f>
        <v>282.84155192999998</v>
      </c>
      <c r="K29" s="70">
        <v>1.0640000000000001</v>
      </c>
      <c r="L29" s="44">
        <f t="shared" si="0"/>
        <v>265.82852624999998</v>
      </c>
      <c r="M29" s="47">
        <v>1.07</v>
      </c>
      <c r="N29" s="44">
        <f t="shared" si="2"/>
        <v>248.43787499999999</v>
      </c>
      <c r="O29" s="70">
        <v>1.075</v>
      </c>
      <c r="P29" s="44">
        <f t="shared" si="1"/>
        <v>231.10499999999999</v>
      </c>
      <c r="Q29" s="70">
        <v>1.085</v>
      </c>
      <c r="R29" s="44">
        <v>213</v>
      </c>
      <c r="S29" s="44">
        <f>G29*T29</f>
        <v>213.4</v>
      </c>
      <c r="T29" s="45">
        <v>1.1000000000000001</v>
      </c>
      <c r="U29" s="44">
        <f>I29*V29</f>
        <v>341.33122760558473</v>
      </c>
      <c r="V29" s="15">
        <f t="shared" ref="V29:V52" si="4">H29*107%</f>
        <v>321.40416912013626</v>
      </c>
      <c r="W29" s="260">
        <f t="shared" ref="W29:W52" si="5">V29</f>
        <v>321.40416912013626</v>
      </c>
      <c r="X29" s="132">
        <f>411*106.5%</f>
        <v>437.71499999999997</v>
      </c>
    </row>
    <row r="30" spans="1:25" ht="15" customHeight="1" x14ac:dyDescent="0.25">
      <c r="A30" s="348"/>
      <c r="B30" s="104" t="s">
        <v>69</v>
      </c>
      <c r="C30" s="46"/>
      <c r="D30" s="47">
        <v>464.5498</v>
      </c>
      <c r="E30" s="47">
        <f>ROUND(D30,0)</f>
        <v>465</v>
      </c>
      <c r="F30" s="47">
        <f>E30*1.092</f>
        <v>507.78000000000003</v>
      </c>
      <c r="G30" s="44">
        <v>559</v>
      </c>
      <c r="H30" s="44">
        <f>J30*I30</f>
        <v>867.28780662930012</v>
      </c>
      <c r="I30" s="70">
        <v>1.0620000000000001</v>
      </c>
      <c r="J30" s="44">
        <f t="shared" si="3"/>
        <v>816.65518515000008</v>
      </c>
      <c r="K30" s="70">
        <v>1.0640000000000001</v>
      </c>
      <c r="L30" s="44">
        <f t="shared" si="0"/>
        <v>767.53306874999998</v>
      </c>
      <c r="M30" s="47">
        <v>1.07</v>
      </c>
      <c r="N30" s="44">
        <f t="shared" si="2"/>
        <v>717.32062499999995</v>
      </c>
      <c r="O30" s="70">
        <v>1.075</v>
      </c>
      <c r="P30" s="44">
        <f t="shared" si="1"/>
        <v>667.27499999999998</v>
      </c>
      <c r="Q30" s="70">
        <v>1.085</v>
      </c>
      <c r="R30" s="44">
        <v>615</v>
      </c>
      <c r="S30" s="44">
        <f>G30*T30</f>
        <v>614.90000000000009</v>
      </c>
      <c r="T30" s="45">
        <v>1.1000000000000001</v>
      </c>
      <c r="U30" s="44">
        <f>I30*V30</f>
        <v>985.53382618513899</v>
      </c>
      <c r="V30" s="15">
        <f t="shared" si="4"/>
        <v>927.99795309335116</v>
      </c>
      <c r="W30" s="260">
        <f t="shared" si="5"/>
        <v>927.99795309335116</v>
      </c>
      <c r="X30" s="132">
        <f>1190*106.5%</f>
        <v>1267.3499999999999</v>
      </c>
    </row>
    <row r="31" spans="1:25" s="18" customFormat="1" ht="27.95" customHeight="1" x14ac:dyDescent="0.25">
      <c r="A31" s="108" t="s">
        <v>48</v>
      </c>
      <c r="B31" s="33" t="s">
        <v>229</v>
      </c>
      <c r="C31" s="46">
        <v>439</v>
      </c>
      <c r="D31" s="46">
        <v>538.62</v>
      </c>
      <c r="E31" s="47">
        <f>ROUND(D31,0)</f>
        <v>539</v>
      </c>
      <c r="F31" s="47">
        <f>E31*1.092</f>
        <v>588.58800000000008</v>
      </c>
      <c r="G31" s="44">
        <v>648</v>
      </c>
      <c r="H31" s="44">
        <f>J31*I31</f>
        <v>1005.4897660596602</v>
      </c>
      <c r="I31" s="70">
        <v>1.0620000000000001</v>
      </c>
      <c r="J31" s="44">
        <f t="shared" si="3"/>
        <v>946.78885693000007</v>
      </c>
      <c r="K31" s="70">
        <v>1.0640000000000001</v>
      </c>
      <c r="L31" s="44">
        <f t="shared" si="0"/>
        <v>889.83915124999999</v>
      </c>
      <c r="M31" s="47">
        <v>1.07</v>
      </c>
      <c r="N31" s="44">
        <f t="shared" si="2"/>
        <v>831.62537499999996</v>
      </c>
      <c r="O31" s="70">
        <v>1.075</v>
      </c>
      <c r="P31" s="44">
        <f t="shared" si="1"/>
        <v>773.60500000000002</v>
      </c>
      <c r="Q31" s="70">
        <v>1.085</v>
      </c>
      <c r="R31" s="44">
        <v>713</v>
      </c>
      <c r="S31" s="44">
        <f>G31*T31</f>
        <v>712.80000000000007</v>
      </c>
      <c r="T31" s="45">
        <v>1.1000000000000001</v>
      </c>
      <c r="U31" s="44">
        <f>I31*V31</f>
        <v>1142.5782407642344</v>
      </c>
      <c r="V31" s="15">
        <f t="shared" si="4"/>
        <v>1075.8740496838363</v>
      </c>
      <c r="W31" s="260">
        <f t="shared" si="5"/>
        <v>1075.8740496838363</v>
      </c>
      <c r="X31" s="132">
        <f>1380*106.5%</f>
        <v>1469.6999999999998</v>
      </c>
    </row>
    <row r="32" spans="1:25" s="18" customFormat="1" ht="18" customHeight="1" x14ac:dyDescent="0.25">
      <c r="A32" s="108" t="s">
        <v>931</v>
      </c>
      <c r="B32" s="33" t="s">
        <v>932</v>
      </c>
      <c r="C32" s="46"/>
      <c r="D32" s="46"/>
      <c r="E32" s="47"/>
      <c r="F32" s="47"/>
      <c r="G32" s="44"/>
      <c r="H32" s="44"/>
      <c r="I32" s="70"/>
      <c r="J32" s="44"/>
      <c r="K32" s="70"/>
      <c r="L32" s="44"/>
      <c r="M32" s="47"/>
      <c r="N32" s="44"/>
      <c r="O32" s="70"/>
      <c r="P32" s="44"/>
      <c r="Q32" s="70"/>
      <c r="R32" s="44"/>
      <c r="S32" s="44"/>
      <c r="T32" s="45"/>
      <c r="U32" s="44"/>
      <c r="V32" s="15"/>
      <c r="W32" s="260"/>
      <c r="X32" s="132">
        <f>2338*106.5%</f>
        <v>2489.9699999999998</v>
      </c>
    </row>
    <row r="33" spans="1:24" s="18" customFormat="1" ht="29.25" customHeight="1" x14ac:dyDescent="0.25">
      <c r="A33" s="108" t="s">
        <v>49</v>
      </c>
      <c r="B33" s="33" t="s">
        <v>671</v>
      </c>
      <c r="C33" s="46"/>
      <c r="D33" s="46"/>
      <c r="E33" s="47"/>
      <c r="F33" s="47"/>
      <c r="G33" s="44">
        <v>2600</v>
      </c>
      <c r="H33" s="44">
        <f>J33*I33</f>
        <v>3666.5825971320005</v>
      </c>
      <c r="I33" s="70">
        <v>1.0620000000000001</v>
      </c>
      <c r="J33" s="44">
        <f t="shared" si="3"/>
        <v>3452.5259860000001</v>
      </c>
      <c r="K33" s="70">
        <v>1.0640000000000001</v>
      </c>
      <c r="L33" s="44">
        <f t="shared" si="0"/>
        <v>3244.8552500000001</v>
      </c>
      <c r="M33" s="47">
        <v>1.07</v>
      </c>
      <c r="N33" s="44">
        <f t="shared" si="2"/>
        <v>3032.5749999999998</v>
      </c>
      <c r="O33" s="70">
        <v>1.075</v>
      </c>
      <c r="P33" s="44">
        <f t="shared" si="1"/>
        <v>2821</v>
      </c>
      <c r="Q33" s="70">
        <v>1.085</v>
      </c>
      <c r="R33" s="44">
        <v>2600</v>
      </c>
      <c r="S33" s="44">
        <v>2600</v>
      </c>
      <c r="T33" s="72" t="s">
        <v>672</v>
      </c>
      <c r="U33" s="44">
        <v>2600</v>
      </c>
      <c r="V33" s="15">
        <f t="shared" si="4"/>
        <v>3923.2433789312408</v>
      </c>
      <c r="W33" s="260">
        <f t="shared" si="5"/>
        <v>3923.2433789312408</v>
      </c>
      <c r="X33" s="132">
        <f>5030*106.5%</f>
        <v>5356.95</v>
      </c>
    </row>
    <row r="34" spans="1:24" s="18" customFormat="1" x14ac:dyDescent="0.25">
      <c r="A34" s="108" t="s">
        <v>50</v>
      </c>
      <c r="B34" s="33" t="s">
        <v>660</v>
      </c>
      <c r="C34" s="46"/>
      <c r="D34" s="46"/>
      <c r="E34" s="47"/>
      <c r="F34" s="47"/>
      <c r="G34" s="44"/>
      <c r="H34" s="44"/>
      <c r="I34" s="70"/>
      <c r="J34" s="44"/>
      <c r="K34" s="70"/>
      <c r="L34" s="44"/>
      <c r="M34" s="47"/>
      <c r="N34" s="44"/>
      <c r="O34" s="70"/>
      <c r="P34" s="44"/>
      <c r="Q34" s="70"/>
      <c r="R34" s="44"/>
      <c r="S34" s="44"/>
      <c r="T34" s="72"/>
      <c r="U34" s="44"/>
      <c r="V34" s="15"/>
      <c r="W34" s="260">
        <v>2487</v>
      </c>
      <c r="X34" s="132">
        <f>3190*106.5%</f>
        <v>3397.35</v>
      </c>
    </row>
    <row r="35" spans="1:24" s="18" customFormat="1" x14ac:dyDescent="0.25">
      <c r="A35" s="108" t="s">
        <v>51</v>
      </c>
      <c r="B35" s="33" t="s">
        <v>844</v>
      </c>
      <c r="C35" s="46"/>
      <c r="D35" s="46"/>
      <c r="E35" s="47"/>
      <c r="F35" s="47"/>
      <c r="G35" s="44">
        <v>1648</v>
      </c>
      <c r="H35" s="44">
        <f>J35*I35</f>
        <v>2324.0492769513603</v>
      </c>
      <c r="I35" s="70">
        <v>1.0620000000000001</v>
      </c>
      <c r="J35" s="44">
        <f t="shared" si="3"/>
        <v>2188.3703172800001</v>
      </c>
      <c r="K35" s="70">
        <v>1.0640000000000001</v>
      </c>
      <c r="L35" s="44">
        <f t="shared" si="0"/>
        <v>2056.73902</v>
      </c>
      <c r="M35" s="47">
        <v>1.07</v>
      </c>
      <c r="N35" s="44">
        <f t="shared" si="2"/>
        <v>1922.1859999999999</v>
      </c>
      <c r="O35" s="70">
        <v>1.075</v>
      </c>
      <c r="P35" s="44">
        <f t="shared" si="1"/>
        <v>1788.08</v>
      </c>
      <c r="Q35" s="70">
        <v>1.085</v>
      </c>
      <c r="R35" s="44">
        <v>1648</v>
      </c>
      <c r="S35" s="44">
        <v>1648</v>
      </c>
      <c r="T35" s="72" t="s">
        <v>672</v>
      </c>
      <c r="U35" s="44">
        <v>1648</v>
      </c>
      <c r="V35" s="15">
        <f t="shared" si="4"/>
        <v>2486.7327263379557</v>
      </c>
      <c r="W35" s="260">
        <f t="shared" si="5"/>
        <v>2486.7327263379557</v>
      </c>
      <c r="X35" s="132">
        <f>3190*106.5%</f>
        <v>3397.35</v>
      </c>
    </row>
    <row r="36" spans="1:24" x14ac:dyDescent="0.25">
      <c r="A36" s="344" t="s">
        <v>52</v>
      </c>
      <c r="B36" s="345" t="s">
        <v>54</v>
      </c>
      <c r="C36" s="346"/>
      <c r="D36" s="346"/>
      <c r="E36" s="346"/>
      <c r="F36" s="346"/>
      <c r="G36" s="346"/>
      <c r="H36" s="346"/>
      <c r="I36" s="346"/>
      <c r="J36" s="347"/>
      <c r="K36" s="47"/>
      <c r="L36" s="44"/>
      <c r="M36" s="47"/>
      <c r="N36" s="44"/>
      <c r="O36" s="70"/>
      <c r="P36" s="44"/>
      <c r="Q36" s="70"/>
      <c r="R36" s="44"/>
      <c r="S36" s="44"/>
      <c r="T36" s="45"/>
      <c r="U36" s="44"/>
      <c r="V36" s="15"/>
      <c r="X36" s="85"/>
    </row>
    <row r="37" spans="1:24" x14ac:dyDescent="0.25">
      <c r="A37" s="344"/>
      <c r="B37" s="281" t="s">
        <v>934</v>
      </c>
      <c r="C37" s="282"/>
      <c r="D37" s="282"/>
      <c r="E37" s="282"/>
      <c r="F37" s="282"/>
      <c r="G37" s="282"/>
      <c r="H37" s="282"/>
      <c r="I37" s="282"/>
      <c r="J37" s="283"/>
      <c r="K37" s="47"/>
      <c r="L37" s="44"/>
      <c r="M37" s="47"/>
      <c r="N37" s="44"/>
      <c r="O37" s="70"/>
      <c r="P37" s="44"/>
      <c r="Q37" s="70"/>
      <c r="R37" s="44"/>
      <c r="S37" s="44"/>
      <c r="T37" s="45"/>
      <c r="U37" s="44"/>
      <c r="V37" s="15"/>
      <c r="X37" s="132">
        <f>135*106.5%</f>
        <v>143.77500000000001</v>
      </c>
    </row>
    <row r="38" spans="1:24" x14ac:dyDescent="0.25">
      <c r="A38" s="344"/>
      <c r="B38" s="104" t="s">
        <v>556</v>
      </c>
      <c r="C38" s="46">
        <v>397</v>
      </c>
      <c r="D38" s="47">
        <v>420.10540000000003</v>
      </c>
      <c r="E38" s="47">
        <f>ROUND(D38,0)</f>
        <v>420</v>
      </c>
      <c r="F38" s="47">
        <f t="shared" ref="F38:F122" si="6">E38*1.092</f>
        <v>458.64000000000004</v>
      </c>
      <c r="G38" s="44">
        <v>505</v>
      </c>
      <c r="H38" s="44">
        <f>J38*I38</f>
        <v>784.08458615592019</v>
      </c>
      <c r="I38" s="70">
        <v>1.0620000000000001</v>
      </c>
      <c r="J38" s="44">
        <f>K38*L38</f>
        <v>738.3094031600001</v>
      </c>
      <c r="K38" s="70">
        <v>1.0640000000000001</v>
      </c>
      <c r="L38" s="44">
        <f t="shared" si="0"/>
        <v>693.8998150000001</v>
      </c>
      <c r="M38" s="47">
        <v>1.07</v>
      </c>
      <c r="N38" s="44">
        <f t="shared" si="2"/>
        <v>648.50450000000001</v>
      </c>
      <c r="O38" s="70">
        <v>1.075</v>
      </c>
      <c r="P38" s="44">
        <f t="shared" si="1"/>
        <v>603.26</v>
      </c>
      <c r="Q38" s="70">
        <v>1.085</v>
      </c>
      <c r="R38" s="44">
        <v>556</v>
      </c>
      <c r="S38" s="44">
        <f>G38*T38</f>
        <v>555.5</v>
      </c>
      <c r="T38" s="45">
        <v>1.1000000000000001</v>
      </c>
      <c r="U38" s="44">
        <f>I38*V38</f>
        <v>890.98667863241849</v>
      </c>
      <c r="V38" s="15">
        <f t="shared" si="4"/>
        <v>838.97050718683465</v>
      </c>
      <c r="W38" s="260">
        <f t="shared" si="5"/>
        <v>838.97050718683465</v>
      </c>
      <c r="X38" s="132">
        <f>1075*106.5%</f>
        <v>1144.875</v>
      </c>
    </row>
    <row r="39" spans="1:24" x14ac:dyDescent="0.25">
      <c r="A39" s="344"/>
      <c r="B39" s="104" t="s">
        <v>557</v>
      </c>
      <c r="C39" s="46">
        <v>845</v>
      </c>
      <c r="D39" s="47">
        <v>894.17899999999997</v>
      </c>
      <c r="E39" s="47">
        <f>ROUND(D39,0)</f>
        <v>894</v>
      </c>
      <c r="F39" s="47">
        <f t="shared" si="6"/>
        <v>976.24800000000005</v>
      </c>
      <c r="G39" s="44">
        <v>1074</v>
      </c>
      <c r="H39" s="44">
        <v>1666</v>
      </c>
      <c r="I39" s="70">
        <v>1.0620000000000001</v>
      </c>
      <c r="J39" s="44">
        <f>K39*L39</f>
        <v>1568.2435344100002</v>
      </c>
      <c r="K39" s="70">
        <v>1.0640000000000001</v>
      </c>
      <c r="L39" s="44">
        <f t="shared" si="0"/>
        <v>1473.9130962500001</v>
      </c>
      <c r="M39" s="47">
        <v>1.07</v>
      </c>
      <c r="N39" s="44">
        <f t="shared" si="2"/>
        <v>1377.488875</v>
      </c>
      <c r="O39" s="70">
        <v>1.075</v>
      </c>
      <c r="P39" s="44">
        <f t="shared" si="1"/>
        <v>1281.385</v>
      </c>
      <c r="Q39" s="70">
        <v>1.085</v>
      </c>
      <c r="R39" s="44">
        <v>1181</v>
      </c>
      <c r="S39" s="44">
        <f>G39*T39</f>
        <v>1181.4000000000001</v>
      </c>
      <c r="T39" s="45">
        <v>1.1000000000000001</v>
      </c>
      <c r="U39" s="44">
        <f>I39*V39</f>
        <v>1893.1424400000003</v>
      </c>
      <c r="V39" s="15">
        <f t="shared" si="4"/>
        <v>1782.6200000000001</v>
      </c>
      <c r="W39" s="260">
        <f t="shared" si="5"/>
        <v>1782.6200000000001</v>
      </c>
      <c r="X39" s="132">
        <f>2286*106.5%</f>
        <v>2434.5899999999997</v>
      </c>
    </row>
    <row r="40" spans="1:24" x14ac:dyDescent="0.25">
      <c r="A40" s="108" t="s">
        <v>53</v>
      </c>
      <c r="B40" s="33" t="s">
        <v>665</v>
      </c>
      <c r="C40" s="46">
        <v>470</v>
      </c>
      <c r="D40" s="47">
        <v>497.35400000000004</v>
      </c>
      <c r="E40" s="47">
        <f>ROUND(D40,0)</f>
        <v>497</v>
      </c>
      <c r="F40" s="47">
        <f t="shared" si="6"/>
        <v>542.72400000000005</v>
      </c>
      <c r="G40" s="44">
        <v>598</v>
      </c>
      <c r="H40" s="44">
        <f>J40*I40</f>
        <v>927.92744188955999</v>
      </c>
      <c r="I40" s="70">
        <v>1.0620000000000001</v>
      </c>
      <c r="J40" s="44">
        <f>K40*L40</f>
        <v>873.75465337999992</v>
      </c>
      <c r="K40" s="70">
        <v>1.0640000000000001</v>
      </c>
      <c r="L40" s="44">
        <f t="shared" si="0"/>
        <v>821.19798249999985</v>
      </c>
      <c r="M40" s="47">
        <v>1.07</v>
      </c>
      <c r="N40" s="44">
        <f t="shared" si="2"/>
        <v>767.47474999999986</v>
      </c>
      <c r="O40" s="70">
        <v>1.075</v>
      </c>
      <c r="P40" s="44">
        <f t="shared" si="1"/>
        <v>713.93</v>
      </c>
      <c r="Q40" s="70">
        <v>1.085</v>
      </c>
      <c r="R40" s="44">
        <v>658</v>
      </c>
      <c r="S40" s="44">
        <f>G40*T40</f>
        <v>657.80000000000007</v>
      </c>
      <c r="T40" s="45">
        <v>1.1000000000000001</v>
      </c>
      <c r="U40" s="44">
        <f>I40*V40</f>
        <v>1054.4410693167827</v>
      </c>
      <c r="V40" s="15">
        <f t="shared" si="4"/>
        <v>992.88236282182925</v>
      </c>
      <c r="W40" s="260">
        <f t="shared" si="5"/>
        <v>992.88236282182925</v>
      </c>
      <c r="X40" s="132">
        <f>1273*106.5%</f>
        <v>1355.7449999999999</v>
      </c>
    </row>
    <row r="41" spans="1:24" x14ac:dyDescent="0.25">
      <c r="A41" s="344" t="s">
        <v>55</v>
      </c>
      <c r="B41" s="345" t="s">
        <v>678</v>
      </c>
      <c r="C41" s="346"/>
      <c r="D41" s="346"/>
      <c r="E41" s="346"/>
      <c r="F41" s="346"/>
      <c r="G41" s="346"/>
      <c r="H41" s="346"/>
      <c r="I41" s="346"/>
      <c r="J41" s="347"/>
      <c r="K41" s="47"/>
      <c r="L41" s="44"/>
      <c r="M41" s="47"/>
      <c r="N41" s="44"/>
      <c r="O41" s="70"/>
      <c r="P41" s="44"/>
      <c r="Q41" s="70"/>
      <c r="R41" s="44"/>
      <c r="S41" s="44"/>
      <c r="T41" s="45"/>
      <c r="U41" s="44"/>
      <c r="V41" s="15"/>
      <c r="X41" s="132"/>
    </row>
    <row r="42" spans="1:24" x14ac:dyDescent="0.25">
      <c r="A42" s="348"/>
      <c r="B42" s="33" t="s">
        <v>679</v>
      </c>
      <c r="C42" s="46">
        <v>484</v>
      </c>
      <c r="D42" s="47">
        <v>512.16999999999996</v>
      </c>
      <c r="E42" s="47">
        <f>ROUND(D42,0)</f>
        <v>512</v>
      </c>
      <c r="F42" s="47">
        <f>E42*1.092</f>
        <v>559.10400000000004</v>
      </c>
      <c r="G42" s="44">
        <v>615</v>
      </c>
      <c r="H42" s="44">
        <f>J42*I42</f>
        <v>954.01333792800017</v>
      </c>
      <c r="I42" s="70">
        <v>1.0620000000000001</v>
      </c>
      <c r="J42" s="44">
        <f>K42*L42</f>
        <v>898.31764400000009</v>
      </c>
      <c r="K42" s="70">
        <v>1.0640000000000001</v>
      </c>
      <c r="L42" s="44">
        <f t="shared" si="0"/>
        <v>844.2835</v>
      </c>
      <c r="M42" s="47">
        <v>1.07</v>
      </c>
      <c r="N42" s="44">
        <f t="shared" si="2"/>
        <v>789.05</v>
      </c>
      <c r="O42" s="70">
        <v>1.075</v>
      </c>
      <c r="P42" s="44">
        <v>734</v>
      </c>
      <c r="Q42" s="112" t="s">
        <v>259</v>
      </c>
      <c r="R42" s="44">
        <v>677</v>
      </c>
      <c r="S42" s="44">
        <f>G42*T42</f>
        <v>676.5</v>
      </c>
      <c r="T42" s="45">
        <v>1.1000000000000001</v>
      </c>
      <c r="U42" s="44">
        <f>I42*V42</f>
        <v>1084.0835164211039</v>
      </c>
      <c r="V42" s="15">
        <f t="shared" si="4"/>
        <v>1020.7942715829603</v>
      </c>
      <c r="W42" s="260">
        <f t="shared" si="5"/>
        <v>1020.7942715829603</v>
      </c>
      <c r="X42" s="132">
        <f>1308*106.5%</f>
        <v>1393.02</v>
      </c>
    </row>
    <row r="43" spans="1:24" x14ac:dyDescent="0.25">
      <c r="A43" s="348"/>
      <c r="B43" s="33" t="s">
        <v>515</v>
      </c>
      <c r="C43" s="46"/>
      <c r="D43" s="47"/>
      <c r="E43" s="47"/>
      <c r="F43" s="47"/>
      <c r="G43" s="44"/>
      <c r="H43" s="44">
        <f>J43*I43</f>
        <v>978.70850607600016</v>
      </c>
      <c r="I43" s="70">
        <v>1.0620000000000001</v>
      </c>
      <c r="J43" s="44">
        <f>K43*L43</f>
        <v>921.57109800000012</v>
      </c>
      <c r="K43" s="70">
        <v>1.0640000000000001</v>
      </c>
      <c r="L43" s="44">
        <f t="shared" si="0"/>
        <v>866.13825000000008</v>
      </c>
      <c r="M43" s="47">
        <v>1.07</v>
      </c>
      <c r="N43" s="44">
        <f t="shared" si="2"/>
        <v>809.47500000000002</v>
      </c>
      <c r="O43" s="70">
        <v>1.075</v>
      </c>
      <c r="P43" s="44">
        <v>753</v>
      </c>
      <c r="Q43" s="112" t="s">
        <v>259</v>
      </c>
      <c r="R43" s="48"/>
      <c r="S43" s="44"/>
      <c r="T43" s="45"/>
      <c r="U43" s="44"/>
      <c r="V43" s="15">
        <f t="shared" si="4"/>
        <v>1047.2181015013202</v>
      </c>
      <c r="W43" s="260">
        <f t="shared" si="5"/>
        <v>1047.2181015013202</v>
      </c>
      <c r="X43" s="132">
        <f>1342*106.5%</f>
        <v>1429.23</v>
      </c>
    </row>
    <row r="44" spans="1:24" x14ac:dyDescent="0.25">
      <c r="A44" s="348"/>
      <c r="B44" s="33" t="s">
        <v>661</v>
      </c>
      <c r="C44" s="46"/>
      <c r="D44" s="47"/>
      <c r="E44" s="47"/>
      <c r="F44" s="47"/>
      <c r="G44" s="44">
        <v>1645</v>
      </c>
      <c r="H44" s="44">
        <f>J44*I44</f>
        <v>2319.8186047239005</v>
      </c>
      <c r="I44" s="70">
        <v>1.0620000000000001</v>
      </c>
      <c r="J44" s="44">
        <f>K44*L44</f>
        <v>2184.3866334500003</v>
      </c>
      <c r="K44" s="70">
        <v>1.0640000000000001</v>
      </c>
      <c r="L44" s="44">
        <f t="shared" si="0"/>
        <v>2052.9949562500001</v>
      </c>
      <c r="M44" s="47">
        <v>1.07</v>
      </c>
      <c r="N44" s="44">
        <f t="shared" si="2"/>
        <v>1918.6868749999999</v>
      </c>
      <c r="O44" s="70">
        <v>1.075</v>
      </c>
      <c r="P44" s="44">
        <f t="shared" si="1"/>
        <v>1784.825</v>
      </c>
      <c r="Q44" s="70">
        <v>1.085</v>
      </c>
      <c r="R44" s="44">
        <v>1645</v>
      </c>
      <c r="S44" s="44">
        <v>1645</v>
      </c>
      <c r="T44" s="72" t="s">
        <v>437</v>
      </c>
      <c r="U44" s="44">
        <v>1645</v>
      </c>
      <c r="V44" s="15">
        <f t="shared" si="4"/>
        <v>2482.2059070545738</v>
      </c>
      <c r="W44" s="260">
        <f t="shared" si="5"/>
        <v>2482.2059070545738</v>
      </c>
      <c r="X44" s="132">
        <f>3183*106.5%</f>
        <v>3389.895</v>
      </c>
    </row>
    <row r="45" spans="1:24" x14ac:dyDescent="0.25">
      <c r="A45" s="348"/>
      <c r="B45" s="33" t="s">
        <v>680</v>
      </c>
      <c r="C45" s="46">
        <v>652</v>
      </c>
      <c r="D45" s="47">
        <v>689.94640000000004</v>
      </c>
      <c r="E45" s="47">
        <f>ROUND(D45,0)</f>
        <v>690</v>
      </c>
      <c r="F45" s="47">
        <f>E45*1.092</f>
        <v>753.48</v>
      </c>
      <c r="G45" s="44">
        <v>828</v>
      </c>
      <c r="H45" s="44">
        <f>J45*I45</f>
        <v>1314.32883866424</v>
      </c>
      <c r="I45" s="70">
        <v>1.0620000000000001</v>
      </c>
      <c r="J45" s="44">
        <f>K45*L45</f>
        <v>1237.59777652</v>
      </c>
      <c r="K45" s="70">
        <v>1.0640000000000001</v>
      </c>
      <c r="L45" s="44">
        <f t="shared" si="0"/>
        <v>1163.1558049999999</v>
      </c>
      <c r="M45" s="47">
        <v>1.07</v>
      </c>
      <c r="N45" s="44">
        <f t="shared" si="2"/>
        <v>1087.0614999999998</v>
      </c>
      <c r="O45" s="70">
        <v>1.075</v>
      </c>
      <c r="P45" s="44">
        <f t="shared" si="1"/>
        <v>1011.2199999999999</v>
      </c>
      <c r="Q45" s="70">
        <v>1.085</v>
      </c>
      <c r="R45" s="44">
        <v>932</v>
      </c>
      <c r="S45" s="44">
        <v>932</v>
      </c>
      <c r="T45" s="72" t="s">
        <v>437</v>
      </c>
      <c r="U45" s="44">
        <v>932</v>
      </c>
      <c r="V45" s="15">
        <f t="shared" si="4"/>
        <v>1406.331857370737</v>
      </c>
      <c r="W45" s="260">
        <f t="shared" si="5"/>
        <v>1406.331857370737</v>
      </c>
      <c r="X45" s="132">
        <f>1803*106.5%</f>
        <v>1920.1949999999999</v>
      </c>
    </row>
    <row r="46" spans="1:24" s="17" customFormat="1" x14ac:dyDescent="0.25">
      <c r="A46" s="349" t="s">
        <v>56</v>
      </c>
      <c r="B46" s="350" t="s">
        <v>805</v>
      </c>
      <c r="C46" s="351"/>
      <c r="D46" s="351"/>
      <c r="E46" s="351"/>
      <c r="F46" s="351"/>
      <c r="G46" s="351"/>
      <c r="H46" s="351"/>
      <c r="I46" s="351"/>
      <c r="J46" s="352"/>
      <c r="K46" s="47"/>
      <c r="L46" s="44"/>
      <c r="M46" s="47"/>
      <c r="N46" s="44"/>
      <c r="O46" s="70"/>
      <c r="P46" s="44"/>
      <c r="Q46" s="70"/>
      <c r="R46" s="44"/>
      <c r="S46" s="53"/>
      <c r="T46" s="50"/>
      <c r="U46" s="53"/>
      <c r="V46" s="21"/>
      <c r="X46" s="132"/>
    </row>
    <row r="47" spans="1:24" s="17" customFormat="1" x14ac:dyDescent="0.25">
      <c r="A47" s="349"/>
      <c r="B47" s="59" t="s">
        <v>558</v>
      </c>
      <c r="C47" s="51"/>
      <c r="D47" s="52">
        <v>1010</v>
      </c>
      <c r="E47" s="52">
        <f>ROUND(D47,0)</f>
        <v>1010</v>
      </c>
      <c r="F47" s="52">
        <f t="shared" si="6"/>
        <v>1102.92</v>
      </c>
      <c r="G47" s="53">
        <v>1213</v>
      </c>
      <c r="H47" s="53">
        <f>J47*I47</f>
        <v>1881.2389171438801</v>
      </c>
      <c r="I47" s="70">
        <v>1.0620000000000001</v>
      </c>
      <c r="J47" s="44">
        <f>K47*L47</f>
        <v>1771.41140974</v>
      </c>
      <c r="K47" s="70">
        <v>1.0640000000000001</v>
      </c>
      <c r="L47" s="44">
        <f t="shared" si="0"/>
        <v>1664.8603474999998</v>
      </c>
      <c r="M47" s="47">
        <v>1.07</v>
      </c>
      <c r="N47" s="44">
        <f t="shared" si="2"/>
        <v>1555.9442499999998</v>
      </c>
      <c r="O47" s="70">
        <v>1.075</v>
      </c>
      <c r="P47" s="44">
        <f t="shared" si="1"/>
        <v>1447.3899999999999</v>
      </c>
      <c r="Q47" s="70">
        <v>1.085</v>
      </c>
      <c r="R47" s="44">
        <v>1334</v>
      </c>
      <c r="S47" s="53">
        <f>G47*T47</f>
        <v>1334.3000000000002</v>
      </c>
      <c r="T47" s="50">
        <v>1.1000000000000001</v>
      </c>
      <c r="U47" s="53">
        <f>I47*V47</f>
        <v>2137.7270311072771</v>
      </c>
      <c r="V47" s="15">
        <f t="shared" si="4"/>
        <v>2012.9256413439518</v>
      </c>
      <c r="W47" s="260">
        <f t="shared" si="5"/>
        <v>2012.9256413439518</v>
      </c>
      <c r="X47" s="132">
        <f>2582*106.5%</f>
        <v>2749.83</v>
      </c>
    </row>
    <row r="48" spans="1:24" s="17" customFormat="1" x14ac:dyDescent="0.25">
      <c r="A48" s="349"/>
      <c r="B48" s="59" t="s">
        <v>559</v>
      </c>
      <c r="C48" s="51"/>
      <c r="D48" s="52">
        <v>958</v>
      </c>
      <c r="E48" s="52">
        <f>ROUND(D48,0)</f>
        <v>958</v>
      </c>
      <c r="F48" s="52">
        <f t="shared" si="6"/>
        <v>1046.136</v>
      </c>
      <c r="G48" s="53">
        <v>1151</v>
      </c>
      <c r="H48" s="53">
        <f>J48*I48</f>
        <v>1776.8823355332001</v>
      </c>
      <c r="I48" s="70">
        <v>1.0620000000000001</v>
      </c>
      <c r="J48" s="44">
        <f>K48*L48</f>
        <v>1673.1472086000001</v>
      </c>
      <c r="K48" s="70">
        <v>1.0640000000000001</v>
      </c>
      <c r="L48" s="44">
        <f t="shared" si="0"/>
        <v>1572.5067750000001</v>
      </c>
      <c r="M48" s="47">
        <v>1.07</v>
      </c>
      <c r="N48" s="44">
        <f t="shared" si="2"/>
        <v>1469.6324999999999</v>
      </c>
      <c r="O48" s="70">
        <v>1.075</v>
      </c>
      <c r="P48" s="44">
        <f t="shared" si="1"/>
        <v>1367.1</v>
      </c>
      <c r="Q48" s="70">
        <v>1.085</v>
      </c>
      <c r="R48" s="44">
        <v>1260</v>
      </c>
      <c r="S48" s="53">
        <v>1260</v>
      </c>
      <c r="T48" s="74">
        <v>1.095</v>
      </c>
      <c r="U48" s="53">
        <v>-1257.81</v>
      </c>
      <c r="V48" s="15">
        <f t="shared" si="4"/>
        <v>1901.2640990205243</v>
      </c>
      <c r="W48" s="260">
        <f t="shared" si="5"/>
        <v>1901.2640990205243</v>
      </c>
      <c r="X48" s="132">
        <f>2439*106.5%</f>
        <v>2597.5349999999999</v>
      </c>
    </row>
    <row r="49" spans="1:24" s="17" customFormat="1" x14ac:dyDescent="0.25">
      <c r="A49" s="349"/>
      <c r="B49" s="59" t="s">
        <v>599</v>
      </c>
      <c r="C49" s="51"/>
      <c r="D49" s="52">
        <v>1277</v>
      </c>
      <c r="E49" s="52">
        <f>ROUND(D49,0)</f>
        <v>1277</v>
      </c>
      <c r="F49" s="52">
        <f t="shared" si="6"/>
        <v>1394.4840000000002</v>
      </c>
      <c r="G49" s="53">
        <v>1533</v>
      </c>
      <c r="H49" s="53">
        <f>J49*I49</f>
        <v>2114.6862408840002</v>
      </c>
      <c r="I49" s="70">
        <v>1.0620000000000001</v>
      </c>
      <c r="J49" s="44">
        <f>K49*L49</f>
        <v>1991.2299820000001</v>
      </c>
      <c r="K49" s="70">
        <v>1.0640000000000001</v>
      </c>
      <c r="L49" s="44">
        <f t="shared" si="0"/>
        <v>1871.4567500000001</v>
      </c>
      <c r="M49" s="47">
        <v>1.07</v>
      </c>
      <c r="N49" s="44">
        <f t="shared" si="2"/>
        <v>1749.0249999999999</v>
      </c>
      <c r="O49" s="70">
        <v>1.075</v>
      </c>
      <c r="P49" s="44">
        <v>1627</v>
      </c>
      <c r="Q49" s="112" t="s">
        <v>259</v>
      </c>
      <c r="R49" s="44">
        <v>1500</v>
      </c>
      <c r="S49" s="53">
        <v>1500</v>
      </c>
      <c r="T49" s="72" t="s">
        <v>437</v>
      </c>
      <c r="U49" s="53">
        <v>1500</v>
      </c>
      <c r="V49" s="15">
        <f t="shared" si="4"/>
        <v>2262.7142777458803</v>
      </c>
      <c r="W49" s="260">
        <f>V49</f>
        <v>2262.7142777458803</v>
      </c>
      <c r="X49" s="132">
        <f>2901*106.5%</f>
        <v>3089.5650000000001</v>
      </c>
    </row>
    <row r="50" spans="1:24" s="17" customFormat="1" ht="30" x14ac:dyDescent="0.25">
      <c r="A50" s="242" t="s">
        <v>16</v>
      </c>
      <c r="B50" s="243" t="s">
        <v>17</v>
      </c>
      <c r="C50" s="244"/>
      <c r="D50" s="245"/>
      <c r="E50" s="245"/>
      <c r="F50" s="245"/>
      <c r="G50" s="179"/>
      <c r="H50" s="205">
        <f>J50*I50</f>
        <v>1360.8662331663002</v>
      </c>
      <c r="I50" s="212">
        <v>1.0620000000000001</v>
      </c>
      <c r="J50" s="211">
        <f>K50*L50</f>
        <v>1281.41829865</v>
      </c>
      <c r="K50" s="212">
        <v>1.0640000000000001</v>
      </c>
      <c r="L50" s="211">
        <f t="shared" si="0"/>
        <v>1204.3405062499999</v>
      </c>
      <c r="M50" s="210">
        <v>1.07</v>
      </c>
      <c r="N50" s="211">
        <f>O50*P50</f>
        <v>1125.5518749999999</v>
      </c>
      <c r="O50" s="212">
        <v>1.075</v>
      </c>
      <c r="P50" s="211">
        <f t="shared" si="1"/>
        <v>1047.0249999999999</v>
      </c>
      <c r="Q50" s="212">
        <v>1.085</v>
      </c>
      <c r="R50" s="211">
        <v>965</v>
      </c>
      <c r="S50" s="179">
        <v>965</v>
      </c>
      <c r="T50" s="246"/>
      <c r="U50" s="179">
        <v>965</v>
      </c>
      <c r="V50" s="15">
        <f t="shared" si="4"/>
        <v>1456.1268694879413</v>
      </c>
      <c r="W50" s="261">
        <f t="shared" si="5"/>
        <v>1456.1268694879413</v>
      </c>
      <c r="X50" s="132">
        <f>1867*106.5%</f>
        <v>1988.3549999999998</v>
      </c>
    </row>
    <row r="51" spans="1:24" s="17" customFormat="1" x14ac:dyDescent="0.25">
      <c r="A51" s="242" t="s">
        <v>843</v>
      </c>
      <c r="B51" s="243" t="s">
        <v>825</v>
      </c>
      <c r="C51" s="244"/>
      <c r="D51" s="245"/>
      <c r="E51" s="245"/>
      <c r="F51" s="245"/>
      <c r="G51" s="179"/>
      <c r="H51" s="205"/>
      <c r="I51" s="212"/>
      <c r="J51" s="211"/>
      <c r="K51" s="212"/>
      <c r="L51" s="211"/>
      <c r="M51" s="210"/>
      <c r="N51" s="211"/>
      <c r="O51" s="212"/>
      <c r="P51" s="211"/>
      <c r="Q51" s="212"/>
      <c r="R51" s="211"/>
      <c r="S51" s="179"/>
      <c r="T51" s="246"/>
      <c r="U51" s="179"/>
      <c r="V51" s="15"/>
      <c r="W51" s="261"/>
      <c r="X51" s="132">
        <f>2194*106.5%</f>
        <v>2336.6099999999997</v>
      </c>
    </row>
    <row r="52" spans="1:24" s="17" customFormat="1" ht="60" x14ac:dyDescent="0.25">
      <c r="A52" s="171" t="s">
        <v>1021</v>
      </c>
      <c r="B52" s="165" t="s">
        <v>1022</v>
      </c>
      <c r="C52" s="172"/>
      <c r="D52" s="168"/>
      <c r="E52" s="168"/>
      <c r="F52" s="168"/>
      <c r="G52" s="166"/>
      <c r="H52" s="166">
        <v>1600</v>
      </c>
      <c r="I52" s="70"/>
      <c r="J52" s="44"/>
      <c r="K52" s="70"/>
      <c r="L52" s="44"/>
      <c r="M52" s="47"/>
      <c r="N52" s="44"/>
      <c r="O52" s="70"/>
      <c r="P52" s="44"/>
      <c r="Q52" s="70"/>
      <c r="R52" s="44"/>
      <c r="S52" s="53"/>
      <c r="T52" s="72"/>
      <c r="U52" s="53"/>
      <c r="V52" s="241">
        <f t="shared" si="4"/>
        <v>1712</v>
      </c>
      <c r="W52" s="260">
        <f t="shared" si="5"/>
        <v>1712</v>
      </c>
      <c r="X52" s="132">
        <v>28176</v>
      </c>
    </row>
    <row r="53" spans="1:24" x14ac:dyDescent="0.25">
      <c r="A53" s="364" t="s">
        <v>667</v>
      </c>
      <c r="B53" s="365"/>
      <c r="C53" s="365"/>
      <c r="D53" s="365"/>
      <c r="E53" s="365"/>
      <c r="F53" s="365"/>
      <c r="G53" s="365"/>
      <c r="H53" s="365"/>
      <c r="I53" s="365"/>
      <c r="J53" s="366"/>
      <c r="K53" s="216"/>
      <c r="L53" s="217"/>
      <c r="M53" s="216"/>
      <c r="N53" s="217"/>
      <c r="O53" s="219"/>
      <c r="P53" s="217"/>
      <c r="Q53" s="219"/>
      <c r="R53" s="217"/>
      <c r="S53" s="217"/>
      <c r="T53" s="247"/>
      <c r="U53" s="217"/>
      <c r="V53" s="15"/>
      <c r="X53" s="132"/>
    </row>
    <row r="54" spans="1:24" x14ac:dyDescent="0.25">
      <c r="A54" s="344" t="s">
        <v>45</v>
      </c>
      <c r="B54" s="344" t="s">
        <v>514</v>
      </c>
      <c r="C54" s="344"/>
      <c r="D54" s="344"/>
      <c r="E54" s="344"/>
      <c r="F54" s="344"/>
      <c r="G54" s="344"/>
      <c r="H54" s="344"/>
      <c r="I54" s="344"/>
      <c r="J54" s="344"/>
      <c r="K54" s="47"/>
      <c r="L54" s="44"/>
      <c r="M54" s="47"/>
      <c r="N54" s="44"/>
      <c r="O54" s="70"/>
      <c r="P54" s="44"/>
      <c r="Q54" s="70"/>
      <c r="R54" s="44"/>
      <c r="S54" s="44"/>
      <c r="T54" s="45"/>
      <c r="U54" s="44"/>
      <c r="V54" s="15"/>
      <c r="W54" s="228"/>
      <c r="X54" s="132"/>
    </row>
    <row r="55" spans="1:24" x14ac:dyDescent="0.25">
      <c r="A55" s="355"/>
      <c r="B55" s="33" t="s">
        <v>618</v>
      </c>
      <c r="C55" s="47">
        <v>8.967682668672003</v>
      </c>
      <c r="D55" s="47">
        <f t="shared" ref="D55:D78" si="7">C55*1.0582</f>
        <v>9.4896017999887139</v>
      </c>
      <c r="E55" s="47">
        <f>D55</f>
        <v>9.4896017999887139</v>
      </c>
      <c r="F55" s="47">
        <f t="shared" si="6"/>
        <v>10.362645165587676</v>
      </c>
      <c r="G55" s="44">
        <v>11</v>
      </c>
      <c r="H55" s="44">
        <f>J55*I55</f>
        <v>16.922688909840002</v>
      </c>
      <c r="I55" s="70">
        <v>1.0620000000000001</v>
      </c>
      <c r="J55" s="44">
        <f t="shared" ref="J55:J91" si="8">K55*L55</f>
        <v>15.934735320000001</v>
      </c>
      <c r="K55" s="70">
        <v>1.0640000000000001</v>
      </c>
      <c r="L55" s="44">
        <f t="shared" si="0"/>
        <v>14.976255</v>
      </c>
      <c r="M55" s="47">
        <v>1.07</v>
      </c>
      <c r="N55" s="44">
        <f t="shared" si="2"/>
        <v>13.996499999999999</v>
      </c>
      <c r="O55" s="70">
        <v>1.075</v>
      </c>
      <c r="P55" s="44">
        <f t="shared" si="1"/>
        <v>13.02</v>
      </c>
      <c r="Q55" s="70">
        <v>1.085</v>
      </c>
      <c r="R55" s="44">
        <v>12</v>
      </c>
      <c r="S55" s="44">
        <f>G55*T55</f>
        <v>12.100000000000001</v>
      </c>
      <c r="T55" s="45">
        <v>1.1000000000000001</v>
      </c>
      <c r="U55" s="44">
        <f>I55*V55</f>
        <v>19.229928315807591</v>
      </c>
      <c r="V55" s="15">
        <f t="shared" ref="V55:V125" si="9">H55*107%</f>
        <v>18.107277133528804</v>
      </c>
      <c r="W55" s="260">
        <f t="shared" ref="W55:W125" si="10">V55</f>
        <v>18.107277133528804</v>
      </c>
      <c r="X55" s="132">
        <f>24*106.5%</f>
        <v>25.56</v>
      </c>
    </row>
    <row r="56" spans="1:24" x14ac:dyDescent="0.25">
      <c r="A56" s="355"/>
      <c r="B56" s="33" t="s">
        <v>560</v>
      </c>
      <c r="C56" s="47">
        <v>9.5684587951680022</v>
      </c>
      <c r="D56" s="47">
        <f t="shared" si="7"/>
        <v>10.12534309704678</v>
      </c>
      <c r="E56" s="47">
        <f t="shared" ref="E56:E91" si="11">D56</f>
        <v>10.12534309704678</v>
      </c>
      <c r="F56" s="47">
        <f t="shared" si="6"/>
        <v>11.056874661975085</v>
      </c>
      <c r="G56" s="44">
        <v>12</v>
      </c>
      <c r="H56" s="44">
        <f t="shared" ref="H56:H91" si="12">J56*I56</f>
        <v>16.922688909840002</v>
      </c>
      <c r="I56" s="70">
        <v>1.0620000000000001</v>
      </c>
      <c r="J56" s="44">
        <f t="shared" si="8"/>
        <v>15.934735320000001</v>
      </c>
      <c r="K56" s="70">
        <v>1.0640000000000001</v>
      </c>
      <c r="L56" s="44">
        <f t="shared" si="0"/>
        <v>14.976255</v>
      </c>
      <c r="M56" s="47">
        <v>1.07</v>
      </c>
      <c r="N56" s="44">
        <f t="shared" si="2"/>
        <v>13.996499999999999</v>
      </c>
      <c r="O56" s="70">
        <v>1.075</v>
      </c>
      <c r="P56" s="44">
        <f t="shared" si="1"/>
        <v>13.02</v>
      </c>
      <c r="Q56" s="70">
        <v>1.085</v>
      </c>
      <c r="R56" s="44">
        <v>12</v>
      </c>
      <c r="S56" s="44">
        <v>12</v>
      </c>
      <c r="T56" s="45">
        <v>1</v>
      </c>
      <c r="U56" s="44">
        <v>-10</v>
      </c>
      <c r="V56" s="15">
        <f t="shared" si="9"/>
        <v>18.107277133528804</v>
      </c>
      <c r="W56" s="260">
        <f t="shared" si="10"/>
        <v>18.107277133528804</v>
      </c>
      <c r="X56" s="132">
        <f t="shared" ref="X56" si="13">24*106.5%</f>
        <v>25.56</v>
      </c>
    </row>
    <row r="57" spans="1:24" x14ac:dyDescent="0.25">
      <c r="A57" s="355"/>
      <c r="B57" s="33" t="s">
        <v>561</v>
      </c>
      <c r="C57" s="47">
        <v>10.139928769152002</v>
      </c>
      <c r="D57" s="47">
        <f t="shared" si="7"/>
        <v>10.730072623516648</v>
      </c>
      <c r="E57" s="47">
        <f t="shared" si="11"/>
        <v>10.730072623516648</v>
      </c>
      <c r="F57" s="47">
        <f t="shared" si="6"/>
        <v>11.717239304880181</v>
      </c>
      <c r="G57" s="44">
        <v>13</v>
      </c>
      <c r="H57" s="44">
        <f t="shared" si="12"/>
        <v>19.743137061480002</v>
      </c>
      <c r="I57" s="70">
        <v>1.0620000000000001</v>
      </c>
      <c r="J57" s="44">
        <f t="shared" si="8"/>
        <v>18.590524540000001</v>
      </c>
      <c r="K57" s="70">
        <v>1.0640000000000001</v>
      </c>
      <c r="L57" s="44">
        <f t="shared" si="0"/>
        <v>17.4722975</v>
      </c>
      <c r="M57" s="47">
        <v>1.07</v>
      </c>
      <c r="N57" s="44">
        <f t="shared" si="2"/>
        <v>16.329249999999998</v>
      </c>
      <c r="O57" s="70">
        <v>1.075</v>
      </c>
      <c r="P57" s="44">
        <f t="shared" si="1"/>
        <v>15.19</v>
      </c>
      <c r="Q57" s="70">
        <v>1.085</v>
      </c>
      <c r="R57" s="44">
        <v>14</v>
      </c>
      <c r="S57" s="44">
        <f t="shared" ref="S57:U73" si="14">G57*T57</f>
        <v>14.3</v>
      </c>
      <c r="T57" s="45">
        <v>1.1000000000000001</v>
      </c>
      <c r="U57" s="44">
        <f t="shared" ref="U57:U72" si="15">I57*V57</f>
        <v>22.434916368442188</v>
      </c>
      <c r="V57" s="15">
        <f t="shared" si="9"/>
        <v>21.125156655783602</v>
      </c>
      <c r="W57" s="260">
        <f t="shared" si="10"/>
        <v>21.125156655783602</v>
      </c>
      <c r="X57" s="132">
        <f>27*106.5%</f>
        <v>28.754999999999999</v>
      </c>
    </row>
    <row r="58" spans="1:24" x14ac:dyDescent="0.25">
      <c r="A58" s="355"/>
      <c r="B58" s="33" t="s">
        <v>562</v>
      </c>
      <c r="C58" s="47">
        <v>10.139928769152002</v>
      </c>
      <c r="D58" s="47">
        <f t="shared" si="7"/>
        <v>10.730072623516648</v>
      </c>
      <c r="E58" s="47">
        <f t="shared" si="11"/>
        <v>10.730072623516648</v>
      </c>
      <c r="F58" s="47">
        <f t="shared" si="6"/>
        <v>11.717239304880181</v>
      </c>
      <c r="G58" s="44">
        <v>13</v>
      </c>
      <c r="H58" s="44">
        <f t="shared" si="12"/>
        <v>19.743137061480002</v>
      </c>
      <c r="I58" s="70">
        <v>1.0620000000000001</v>
      </c>
      <c r="J58" s="44">
        <f t="shared" si="8"/>
        <v>18.590524540000001</v>
      </c>
      <c r="K58" s="70">
        <v>1.0640000000000001</v>
      </c>
      <c r="L58" s="44">
        <f t="shared" si="0"/>
        <v>17.4722975</v>
      </c>
      <c r="M58" s="47">
        <v>1.07</v>
      </c>
      <c r="N58" s="44">
        <f t="shared" si="2"/>
        <v>16.329249999999998</v>
      </c>
      <c r="O58" s="70">
        <v>1.075</v>
      </c>
      <c r="P58" s="44">
        <f t="shared" si="1"/>
        <v>15.19</v>
      </c>
      <c r="Q58" s="70">
        <v>1.085</v>
      </c>
      <c r="R58" s="44">
        <v>14</v>
      </c>
      <c r="S58" s="44">
        <f t="shared" si="14"/>
        <v>14.3</v>
      </c>
      <c r="T58" s="45">
        <v>1.1000000000000001</v>
      </c>
      <c r="U58" s="44">
        <f t="shared" si="15"/>
        <v>22.434916368442188</v>
      </c>
      <c r="V58" s="15">
        <f t="shared" si="9"/>
        <v>21.125156655783602</v>
      </c>
      <c r="W58" s="260">
        <f t="shared" si="10"/>
        <v>21.125156655783602</v>
      </c>
      <c r="X58" s="132">
        <f>27*106.5%</f>
        <v>28.754999999999999</v>
      </c>
    </row>
    <row r="59" spans="1:24" x14ac:dyDescent="0.25">
      <c r="A59" s="355"/>
      <c r="B59" s="33" t="s">
        <v>563</v>
      </c>
      <c r="C59" s="47">
        <v>8.967682668672003</v>
      </c>
      <c r="D59" s="47">
        <f t="shared" si="7"/>
        <v>9.4896017999887139</v>
      </c>
      <c r="E59" s="47">
        <f t="shared" si="11"/>
        <v>9.4896017999887139</v>
      </c>
      <c r="F59" s="47">
        <f t="shared" si="6"/>
        <v>10.362645165587676</v>
      </c>
      <c r="G59" s="44">
        <v>11</v>
      </c>
      <c r="H59" s="44">
        <f t="shared" si="12"/>
        <v>16.922688909840002</v>
      </c>
      <c r="I59" s="70">
        <v>1.0620000000000001</v>
      </c>
      <c r="J59" s="44">
        <f t="shared" si="8"/>
        <v>15.934735320000001</v>
      </c>
      <c r="K59" s="70">
        <v>1.0640000000000001</v>
      </c>
      <c r="L59" s="44">
        <f t="shared" si="0"/>
        <v>14.976255</v>
      </c>
      <c r="M59" s="47">
        <v>1.07</v>
      </c>
      <c r="N59" s="44">
        <f t="shared" si="2"/>
        <v>13.996499999999999</v>
      </c>
      <c r="O59" s="70">
        <v>1.075</v>
      </c>
      <c r="P59" s="44">
        <f t="shared" si="1"/>
        <v>13.02</v>
      </c>
      <c r="Q59" s="70">
        <v>1.085</v>
      </c>
      <c r="R59" s="44">
        <v>12</v>
      </c>
      <c r="S59" s="44">
        <f t="shared" si="14"/>
        <v>12.100000000000001</v>
      </c>
      <c r="T59" s="45">
        <v>1.1000000000000001</v>
      </c>
      <c r="U59" s="44">
        <f t="shared" si="15"/>
        <v>19.229928315807591</v>
      </c>
      <c r="V59" s="15">
        <f t="shared" si="9"/>
        <v>18.107277133528804</v>
      </c>
      <c r="W59" s="260">
        <f t="shared" si="10"/>
        <v>18.107277133528804</v>
      </c>
      <c r="X59" s="132">
        <f>24*106.5%</f>
        <v>25.56</v>
      </c>
    </row>
    <row r="60" spans="1:24" x14ac:dyDescent="0.25">
      <c r="A60" s="355"/>
      <c r="B60" s="33" t="s">
        <v>564</v>
      </c>
      <c r="C60" s="47">
        <v>7.1800073654400025</v>
      </c>
      <c r="D60" s="47">
        <f t="shared" si="7"/>
        <v>7.5978837941086113</v>
      </c>
      <c r="E60" s="47">
        <f t="shared" si="11"/>
        <v>7.5978837941086113</v>
      </c>
      <c r="F60" s="47">
        <f t="shared" si="6"/>
        <v>8.2968891031666043</v>
      </c>
      <c r="G60" s="44">
        <v>9</v>
      </c>
      <c r="H60" s="44">
        <f t="shared" si="12"/>
        <v>14.102240758199999</v>
      </c>
      <c r="I60" s="70">
        <v>1.0620000000000001</v>
      </c>
      <c r="J60" s="44">
        <f t="shared" si="8"/>
        <v>13.278946099999999</v>
      </c>
      <c r="K60" s="70">
        <v>1.0640000000000001</v>
      </c>
      <c r="L60" s="44">
        <f t="shared" si="0"/>
        <v>12.480212499999999</v>
      </c>
      <c r="M60" s="47">
        <v>1.07</v>
      </c>
      <c r="N60" s="44">
        <f t="shared" si="2"/>
        <v>11.663749999999999</v>
      </c>
      <c r="O60" s="70">
        <v>1.075</v>
      </c>
      <c r="P60" s="44">
        <f t="shared" si="1"/>
        <v>10.85</v>
      </c>
      <c r="Q60" s="70">
        <v>1.085</v>
      </c>
      <c r="R60" s="44">
        <v>10</v>
      </c>
      <c r="S60" s="44">
        <f t="shared" si="14"/>
        <v>9.9</v>
      </c>
      <c r="T60" s="45">
        <v>1.1000000000000001</v>
      </c>
      <c r="U60" s="44">
        <f t="shared" si="15"/>
        <v>16.02494026317299</v>
      </c>
      <c r="V60" s="15">
        <f t="shared" si="9"/>
        <v>15.089397611274</v>
      </c>
      <c r="W60" s="260">
        <f t="shared" si="10"/>
        <v>15.089397611274</v>
      </c>
      <c r="X60" s="132">
        <f>20*106.5%</f>
        <v>21.299999999999997</v>
      </c>
    </row>
    <row r="61" spans="1:24" x14ac:dyDescent="0.25">
      <c r="A61" s="355"/>
      <c r="B61" s="33" t="s">
        <v>565</v>
      </c>
      <c r="C61" s="47">
        <v>6.5352720101760022</v>
      </c>
      <c r="D61" s="47">
        <f t="shared" si="7"/>
        <v>6.9156248411682455</v>
      </c>
      <c r="E61" s="47">
        <f t="shared" si="11"/>
        <v>6.9156248411682455</v>
      </c>
      <c r="F61" s="47">
        <f t="shared" si="6"/>
        <v>7.5518623265557245</v>
      </c>
      <c r="G61" s="44">
        <v>9</v>
      </c>
      <c r="H61" s="44">
        <f t="shared" si="12"/>
        <v>14.102240758199999</v>
      </c>
      <c r="I61" s="70">
        <v>1.0620000000000001</v>
      </c>
      <c r="J61" s="44">
        <f t="shared" si="8"/>
        <v>13.278946099999999</v>
      </c>
      <c r="K61" s="70">
        <v>1.0640000000000001</v>
      </c>
      <c r="L61" s="44">
        <f t="shared" si="0"/>
        <v>12.480212499999999</v>
      </c>
      <c r="M61" s="47">
        <v>1.07</v>
      </c>
      <c r="N61" s="44">
        <f>O61*P61</f>
        <v>11.663749999999999</v>
      </c>
      <c r="O61" s="70">
        <v>1.075</v>
      </c>
      <c r="P61" s="44">
        <f t="shared" si="1"/>
        <v>10.85</v>
      </c>
      <c r="Q61" s="70">
        <v>1.085</v>
      </c>
      <c r="R61" s="44">
        <v>10</v>
      </c>
      <c r="S61" s="44">
        <f t="shared" si="14"/>
        <v>9.9</v>
      </c>
      <c r="T61" s="45">
        <v>1.1000000000000001</v>
      </c>
      <c r="U61" s="44">
        <f t="shared" si="15"/>
        <v>16.02494026317299</v>
      </c>
      <c r="V61" s="15">
        <f t="shared" si="9"/>
        <v>15.089397611274</v>
      </c>
      <c r="W61" s="260">
        <f t="shared" si="10"/>
        <v>15.089397611274</v>
      </c>
      <c r="X61" s="132">
        <f>20*106.5%</f>
        <v>21.299999999999997</v>
      </c>
    </row>
    <row r="62" spans="1:24" x14ac:dyDescent="0.25">
      <c r="A62" s="355"/>
      <c r="B62" s="33" t="s">
        <v>566</v>
      </c>
      <c r="C62" s="47">
        <v>7.7514773394240031</v>
      </c>
      <c r="D62" s="47">
        <f t="shared" si="7"/>
        <v>8.2026133205784806</v>
      </c>
      <c r="E62" s="47">
        <f t="shared" si="11"/>
        <v>8.2026133205784806</v>
      </c>
      <c r="F62" s="47">
        <f t="shared" si="6"/>
        <v>8.9572537460717019</v>
      </c>
      <c r="G62" s="44">
        <v>10</v>
      </c>
      <c r="H62" s="44">
        <f t="shared" si="12"/>
        <v>15.512464834020001</v>
      </c>
      <c r="I62" s="70">
        <v>1.0620000000000001</v>
      </c>
      <c r="J62" s="44">
        <f t="shared" si="8"/>
        <v>14.60684071</v>
      </c>
      <c r="K62" s="70">
        <v>1.0640000000000001</v>
      </c>
      <c r="L62" s="44">
        <f t="shared" si="0"/>
        <v>13.728233749999999</v>
      </c>
      <c r="M62" s="47">
        <v>1.07</v>
      </c>
      <c r="N62" s="44">
        <f t="shared" si="2"/>
        <v>12.830124999999999</v>
      </c>
      <c r="O62" s="70">
        <v>1.075</v>
      </c>
      <c r="P62" s="44">
        <f t="shared" si="1"/>
        <v>11.934999999999999</v>
      </c>
      <c r="Q62" s="70">
        <v>1.085</v>
      </c>
      <c r="R62" s="44">
        <v>11</v>
      </c>
      <c r="S62" s="44">
        <f t="shared" si="14"/>
        <v>11</v>
      </c>
      <c r="T62" s="45">
        <v>1.1000000000000001</v>
      </c>
      <c r="U62" s="44">
        <f t="shared" si="15"/>
        <v>17.627434289490292</v>
      </c>
      <c r="V62" s="15">
        <f t="shared" si="9"/>
        <v>16.598337372401403</v>
      </c>
      <c r="W62" s="260">
        <f t="shared" si="10"/>
        <v>16.598337372401403</v>
      </c>
      <c r="X62" s="132">
        <f>23*106.5%</f>
        <v>24.494999999999997</v>
      </c>
    </row>
    <row r="63" spans="1:24" x14ac:dyDescent="0.25">
      <c r="A63" s="355"/>
      <c r="B63" s="33" t="s">
        <v>567</v>
      </c>
      <c r="C63" s="47">
        <v>8.3522534659200023</v>
      </c>
      <c r="D63" s="47">
        <f t="shared" si="7"/>
        <v>8.8383546176365471</v>
      </c>
      <c r="E63" s="47">
        <f t="shared" si="11"/>
        <v>8.8383546176365471</v>
      </c>
      <c r="F63" s="47">
        <f t="shared" si="6"/>
        <v>9.6514832424591095</v>
      </c>
      <c r="G63" s="44">
        <v>11</v>
      </c>
      <c r="H63" s="44">
        <f t="shared" si="12"/>
        <v>16.922688909840002</v>
      </c>
      <c r="I63" s="70">
        <v>1.0620000000000001</v>
      </c>
      <c r="J63" s="44">
        <f t="shared" si="8"/>
        <v>15.934735320000001</v>
      </c>
      <c r="K63" s="70">
        <v>1.0640000000000001</v>
      </c>
      <c r="L63" s="44">
        <f t="shared" si="0"/>
        <v>14.976255</v>
      </c>
      <c r="M63" s="47">
        <v>1.07</v>
      </c>
      <c r="N63" s="44">
        <f t="shared" si="2"/>
        <v>13.996499999999999</v>
      </c>
      <c r="O63" s="70">
        <v>1.075</v>
      </c>
      <c r="P63" s="44">
        <f t="shared" si="1"/>
        <v>13.02</v>
      </c>
      <c r="Q63" s="70">
        <v>1.085</v>
      </c>
      <c r="R63" s="44">
        <v>12</v>
      </c>
      <c r="S63" s="44">
        <f t="shared" si="14"/>
        <v>12.100000000000001</v>
      </c>
      <c r="T63" s="45">
        <v>1.1000000000000001</v>
      </c>
      <c r="U63" s="44">
        <f t="shared" si="15"/>
        <v>19.229928315807591</v>
      </c>
      <c r="V63" s="15">
        <f t="shared" si="9"/>
        <v>18.107277133528804</v>
      </c>
      <c r="W63" s="260">
        <f t="shared" si="10"/>
        <v>18.107277133528804</v>
      </c>
      <c r="X63" s="132">
        <f>24*106.5%</f>
        <v>25.56</v>
      </c>
    </row>
    <row r="64" spans="1:24" x14ac:dyDescent="0.25">
      <c r="A64" s="355"/>
      <c r="B64" s="33" t="s">
        <v>569</v>
      </c>
      <c r="C64" s="47">
        <v>7.1800073654400025</v>
      </c>
      <c r="D64" s="47">
        <f t="shared" si="7"/>
        <v>7.5978837941086113</v>
      </c>
      <c r="E64" s="47">
        <f t="shared" si="11"/>
        <v>7.5978837941086113</v>
      </c>
      <c r="F64" s="47">
        <f t="shared" si="6"/>
        <v>8.2968891031666043</v>
      </c>
      <c r="G64" s="44">
        <v>9</v>
      </c>
      <c r="H64" s="44">
        <f t="shared" si="12"/>
        <v>14.102240758199999</v>
      </c>
      <c r="I64" s="70">
        <v>1.0620000000000001</v>
      </c>
      <c r="J64" s="44">
        <f t="shared" si="8"/>
        <v>13.278946099999999</v>
      </c>
      <c r="K64" s="70">
        <v>1.0640000000000001</v>
      </c>
      <c r="L64" s="44">
        <f t="shared" si="0"/>
        <v>12.480212499999999</v>
      </c>
      <c r="M64" s="47">
        <v>1.07</v>
      </c>
      <c r="N64" s="44">
        <f t="shared" si="2"/>
        <v>11.663749999999999</v>
      </c>
      <c r="O64" s="70">
        <v>1.075</v>
      </c>
      <c r="P64" s="44">
        <f t="shared" si="1"/>
        <v>10.85</v>
      </c>
      <c r="Q64" s="70">
        <v>1.085</v>
      </c>
      <c r="R64" s="44">
        <v>10</v>
      </c>
      <c r="S64" s="44">
        <f t="shared" si="14"/>
        <v>9.9</v>
      </c>
      <c r="T64" s="45">
        <v>1.1000000000000001</v>
      </c>
      <c r="U64" s="44">
        <f t="shared" si="15"/>
        <v>16.02494026317299</v>
      </c>
      <c r="V64" s="15">
        <f t="shared" si="9"/>
        <v>15.089397611274</v>
      </c>
      <c r="W64" s="260">
        <f t="shared" si="10"/>
        <v>15.089397611274</v>
      </c>
      <c r="X64" s="132">
        <f>20*106.5%</f>
        <v>21.299999999999997</v>
      </c>
    </row>
    <row r="65" spans="1:24" x14ac:dyDescent="0.25">
      <c r="A65" s="355"/>
      <c r="B65" s="33" t="s">
        <v>570</v>
      </c>
      <c r="C65" s="47">
        <v>8.967682668672003</v>
      </c>
      <c r="D65" s="47">
        <f t="shared" si="7"/>
        <v>9.4896017999887139</v>
      </c>
      <c r="E65" s="47">
        <f t="shared" si="11"/>
        <v>9.4896017999887139</v>
      </c>
      <c r="F65" s="47">
        <f t="shared" si="6"/>
        <v>10.362645165587676</v>
      </c>
      <c r="G65" s="44">
        <v>11</v>
      </c>
      <c r="H65" s="44">
        <f t="shared" si="12"/>
        <v>16.922688909840002</v>
      </c>
      <c r="I65" s="70">
        <v>1.0620000000000001</v>
      </c>
      <c r="J65" s="44">
        <f t="shared" si="8"/>
        <v>15.934735320000001</v>
      </c>
      <c r="K65" s="70">
        <v>1.0640000000000001</v>
      </c>
      <c r="L65" s="44">
        <f t="shared" si="0"/>
        <v>14.976255</v>
      </c>
      <c r="M65" s="47">
        <v>1.07</v>
      </c>
      <c r="N65" s="44">
        <f t="shared" si="2"/>
        <v>13.996499999999999</v>
      </c>
      <c r="O65" s="70">
        <v>1.075</v>
      </c>
      <c r="P65" s="44">
        <f t="shared" si="1"/>
        <v>13.02</v>
      </c>
      <c r="Q65" s="70">
        <v>1.085</v>
      </c>
      <c r="R65" s="44">
        <v>12</v>
      </c>
      <c r="S65" s="44">
        <f t="shared" si="14"/>
        <v>12.100000000000001</v>
      </c>
      <c r="T65" s="45">
        <v>1.1000000000000001</v>
      </c>
      <c r="U65" s="44">
        <f t="shared" si="15"/>
        <v>19.229928315807591</v>
      </c>
      <c r="V65" s="15">
        <f t="shared" si="9"/>
        <v>18.107277133528804</v>
      </c>
      <c r="W65" s="260">
        <f t="shared" si="10"/>
        <v>18.107277133528804</v>
      </c>
      <c r="X65" s="132">
        <f>24*106.5%</f>
        <v>25.56</v>
      </c>
    </row>
    <row r="66" spans="1:24" x14ac:dyDescent="0.25">
      <c r="A66" s="355"/>
      <c r="B66" s="33" t="s">
        <v>571</v>
      </c>
      <c r="C66" s="47">
        <v>8.967682668672003</v>
      </c>
      <c r="D66" s="47">
        <f t="shared" si="7"/>
        <v>9.4896017999887139</v>
      </c>
      <c r="E66" s="47">
        <f t="shared" si="11"/>
        <v>9.4896017999887139</v>
      </c>
      <c r="F66" s="47">
        <f t="shared" si="6"/>
        <v>10.362645165587676</v>
      </c>
      <c r="G66" s="44">
        <v>11</v>
      </c>
      <c r="H66" s="44">
        <f t="shared" si="12"/>
        <v>16.922688909840002</v>
      </c>
      <c r="I66" s="70">
        <v>1.0620000000000001</v>
      </c>
      <c r="J66" s="44">
        <f t="shared" si="8"/>
        <v>15.934735320000001</v>
      </c>
      <c r="K66" s="70">
        <v>1.0640000000000001</v>
      </c>
      <c r="L66" s="44">
        <f t="shared" si="0"/>
        <v>14.976255</v>
      </c>
      <c r="M66" s="47">
        <v>1.07</v>
      </c>
      <c r="N66" s="44">
        <f t="shared" si="2"/>
        <v>13.996499999999999</v>
      </c>
      <c r="O66" s="70">
        <v>1.075</v>
      </c>
      <c r="P66" s="44">
        <f t="shared" si="1"/>
        <v>13.02</v>
      </c>
      <c r="Q66" s="70">
        <v>1.085</v>
      </c>
      <c r="R66" s="44">
        <v>12</v>
      </c>
      <c r="S66" s="44">
        <f t="shared" si="14"/>
        <v>12.100000000000001</v>
      </c>
      <c r="T66" s="45">
        <v>1.1000000000000001</v>
      </c>
      <c r="U66" s="44">
        <f t="shared" si="15"/>
        <v>19.229928315807591</v>
      </c>
      <c r="V66" s="15">
        <f t="shared" si="9"/>
        <v>18.107277133528804</v>
      </c>
      <c r="W66" s="260">
        <f t="shared" si="10"/>
        <v>18.107277133528804</v>
      </c>
      <c r="X66" s="132">
        <f>24*106.5%</f>
        <v>25.56</v>
      </c>
    </row>
    <row r="67" spans="1:24" x14ac:dyDescent="0.25">
      <c r="A67" s="355"/>
      <c r="B67" s="33" t="s">
        <v>572</v>
      </c>
      <c r="C67" s="47">
        <v>7.1800073654400025</v>
      </c>
      <c r="D67" s="47">
        <f t="shared" si="7"/>
        <v>7.5978837941086113</v>
      </c>
      <c r="E67" s="47">
        <f t="shared" si="11"/>
        <v>7.5978837941086113</v>
      </c>
      <c r="F67" s="47">
        <f t="shared" si="6"/>
        <v>8.2968891031666043</v>
      </c>
      <c r="G67" s="44">
        <v>9</v>
      </c>
      <c r="H67" s="44">
        <f t="shared" si="12"/>
        <v>14.102240758199999</v>
      </c>
      <c r="I67" s="70">
        <v>1.0620000000000001</v>
      </c>
      <c r="J67" s="44">
        <f t="shared" si="8"/>
        <v>13.278946099999999</v>
      </c>
      <c r="K67" s="70">
        <v>1.0640000000000001</v>
      </c>
      <c r="L67" s="44">
        <f t="shared" si="0"/>
        <v>12.480212499999999</v>
      </c>
      <c r="M67" s="47">
        <v>1.07</v>
      </c>
      <c r="N67" s="44">
        <f t="shared" si="2"/>
        <v>11.663749999999999</v>
      </c>
      <c r="O67" s="70">
        <v>1.075</v>
      </c>
      <c r="P67" s="44">
        <f t="shared" si="1"/>
        <v>10.85</v>
      </c>
      <c r="Q67" s="70">
        <v>1.085</v>
      </c>
      <c r="R67" s="44">
        <v>10</v>
      </c>
      <c r="S67" s="44">
        <f t="shared" si="14"/>
        <v>9.9</v>
      </c>
      <c r="T67" s="45">
        <v>1.1000000000000001</v>
      </c>
      <c r="U67" s="44">
        <f t="shared" si="15"/>
        <v>16.02494026317299</v>
      </c>
      <c r="V67" s="15">
        <f t="shared" si="9"/>
        <v>15.089397611274</v>
      </c>
      <c r="W67" s="260">
        <f t="shared" si="10"/>
        <v>15.089397611274</v>
      </c>
      <c r="X67" s="132">
        <f>20*106.5%</f>
        <v>21.299999999999997</v>
      </c>
    </row>
    <row r="68" spans="1:24" x14ac:dyDescent="0.25">
      <c r="A68" s="355"/>
      <c r="B68" s="33" t="s">
        <v>573</v>
      </c>
      <c r="C68" s="47">
        <v>8.3522534659200023</v>
      </c>
      <c r="D68" s="47">
        <f t="shared" si="7"/>
        <v>8.8383546176365471</v>
      </c>
      <c r="E68" s="47">
        <f t="shared" si="11"/>
        <v>8.8383546176365471</v>
      </c>
      <c r="F68" s="47">
        <f t="shared" si="6"/>
        <v>9.6514832424591095</v>
      </c>
      <c r="G68" s="44">
        <v>11</v>
      </c>
      <c r="H68" s="44">
        <f t="shared" si="12"/>
        <v>16.922688909840002</v>
      </c>
      <c r="I68" s="70">
        <v>1.0620000000000001</v>
      </c>
      <c r="J68" s="44">
        <f t="shared" si="8"/>
        <v>15.934735320000001</v>
      </c>
      <c r="K68" s="70">
        <v>1.0640000000000001</v>
      </c>
      <c r="L68" s="44">
        <f t="shared" si="0"/>
        <v>14.976255</v>
      </c>
      <c r="M68" s="47">
        <v>1.07</v>
      </c>
      <c r="N68" s="44">
        <f>O68*P68</f>
        <v>13.996499999999999</v>
      </c>
      <c r="O68" s="70">
        <v>1.075</v>
      </c>
      <c r="P68" s="44">
        <f t="shared" si="1"/>
        <v>13.02</v>
      </c>
      <c r="Q68" s="70">
        <v>1.085</v>
      </c>
      <c r="R68" s="44">
        <v>12</v>
      </c>
      <c r="S68" s="44">
        <f t="shared" si="14"/>
        <v>12.100000000000001</v>
      </c>
      <c r="T68" s="45">
        <v>1.1000000000000001</v>
      </c>
      <c r="U68" s="44">
        <f t="shared" si="15"/>
        <v>19.229928315807591</v>
      </c>
      <c r="V68" s="15">
        <f t="shared" si="9"/>
        <v>18.107277133528804</v>
      </c>
      <c r="W68" s="260">
        <f t="shared" si="10"/>
        <v>18.107277133528804</v>
      </c>
      <c r="X68" s="132">
        <f>24*106.5%</f>
        <v>25.56</v>
      </c>
    </row>
    <row r="69" spans="1:24" x14ac:dyDescent="0.25">
      <c r="A69" s="355"/>
      <c r="B69" s="33" t="s">
        <v>574</v>
      </c>
      <c r="C69" s="47">
        <v>7.1800073654400025</v>
      </c>
      <c r="D69" s="47">
        <f t="shared" si="7"/>
        <v>7.5978837941086113</v>
      </c>
      <c r="E69" s="47">
        <f t="shared" si="11"/>
        <v>7.5978837941086113</v>
      </c>
      <c r="F69" s="47">
        <f t="shared" si="6"/>
        <v>8.2968891031666043</v>
      </c>
      <c r="G69" s="44">
        <v>9</v>
      </c>
      <c r="H69" s="44">
        <f t="shared" si="12"/>
        <v>14.102240758199999</v>
      </c>
      <c r="I69" s="70">
        <v>1.0620000000000001</v>
      </c>
      <c r="J69" s="44">
        <f t="shared" si="8"/>
        <v>13.278946099999999</v>
      </c>
      <c r="K69" s="70">
        <v>1.0640000000000001</v>
      </c>
      <c r="L69" s="44">
        <f t="shared" si="0"/>
        <v>12.480212499999999</v>
      </c>
      <c r="M69" s="47">
        <v>1.07</v>
      </c>
      <c r="N69" s="44">
        <f t="shared" si="2"/>
        <v>11.663749999999999</v>
      </c>
      <c r="O69" s="70">
        <v>1.075</v>
      </c>
      <c r="P69" s="44">
        <f t="shared" si="1"/>
        <v>10.85</v>
      </c>
      <c r="Q69" s="70">
        <v>1.085</v>
      </c>
      <c r="R69" s="44">
        <v>10</v>
      </c>
      <c r="S69" s="44">
        <f t="shared" si="14"/>
        <v>9.9</v>
      </c>
      <c r="T69" s="45">
        <v>1.1000000000000001</v>
      </c>
      <c r="U69" s="44">
        <f t="shared" si="15"/>
        <v>16.02494026317299</v>
      </c>
      <c r="V69" s="15">
        <f t="shared" si="9"/>
        <v>15.089397611274</v>
      </c>
      <c r="W69" s="260">
        <f t="shared" si="10"/>
        <v>15.089397611274</v>
      </c>
      <c r="X69" s="132">
        <f>20*106.5%</f>
        <v>21.299999999999997</v>
      </c>
    </row>
    <row r="70" spans="1:24" x14ac:dyDescent="0.25">
      <c r="A70" s="355"/>
      <c r="B70" s="33" t="s">
        <v>575</v>
      </c>
      <c r="C70" s="47">
        <v>5.9638020361920017</v>
      </c>
      <c r="D70" s="47">
        <f t="shared" si="7"/>
        <v>6.3108953146983762</v>
      </c>
      <c r="E70" s="47">
        <f t="shared" si="11"/>
        <v>6.3108953146983762</v>
      </c>
      <c r="F70" s="47">
        <f t="shared" si="6"/>
        <v>6.891497683650627</v>
      </c>
      <c r="G70" s="44">
        <v>8</v>
      </c>
      <c r="H70" s="44">
        <f t="shared" si="12"/>
        <v>12.692016682380004</v>
      </c>
      <c r="I70" s="70">
        <v>1.0620000000000001</v>
      </c>
      <c r="J70" s="44">
        <f t="shared" si="8"/>
        <v>11.951051490000003</v>
      </c>
      <c r="K70" s="70">
        <v>1.0640000000000001</v>
      </c>
      <c r="L70" s="44">
        <f t="shared" si="0"/>
        <v>11.232191250000001</v>
      </c>
      <c r="M70" s="47">
        <v>1.07</v>
      </c>
      <c r="N70" s="44">
        <f t="shared" si="2"/>
        <v>10.497375</v>
      </c>
      <c r="O70" s="70">
        <v>1.075</v>
      </c>
      <c r="P70" s="44">
        <f t="shared" si="1"/>
        <v>9.7650000000000006</v>
      </c>
      <c r="Q70" s="70">
        <v>1.085</v>
      </c>
      <c r="R70" s="44">
        <v>9</v>
      </c>
      <c r="S70" s="44">
        <f t="shared" si="14"/>
        <v>8.8000000000000007</v>
      </c>
      <c r="T70" s="45">
        <v>1.1000000000000001</v>
      </c>
      <c r="U70" s="44">
        <f t="shared" si="15"/>
        <v>14.422446236855695</v>
      </c>
      <c r="V70" s="15">
        <f t="shared" si="9"/>
        <v>13.580457850146605</v>
      </c>
      <c r="W70" s="260">
        <f t="shared" si="10"/>
        <v>13.580457850146605</v>
      </c>
      <c r="X70" s="132">
        <f>19*106.5%</f>
        <v>20.234999999999999</v>
      </c>
    </row>
    <row r="71" spans="1:24" x14ac:dyDescent="0.25">
      <c r="A71" s="355"/>
      <c r="B71" s="33" t="s">
        <v>576</v>
      </c>
      <c r="C71" s="47">
        <v>7.7514773394240031</v>
      </c>
      <c r="D71" s="47">
        <f t="shared" si="7"/>
        <v>8.2026133205784806</v>
      </c>
      <c r="E71" s="47">
        <f t="shared" si="11"/>
        <v>8.2026133205784806</v>
      </c>
      <c r="F71" s="47">
        <f t="shared" si="6"/>
        <v>8.9572537460717019</v>
      </c>
      <c r="G71" s="44">
        <v>10</v>
      </c>
      <c r="H71" s="44">
        <f t="shared" si="12"/>
        <v>15.512464834020001</v>
      </c>
      <c r="I71" s="70">
        <v>1.0620000000000001</v>
      </c>
      <c r="J71" s="44">
        <f t="shared" si="8"/>
        <v>14.60684071</v>
      </c>
      <c r="K71" s="70">
        <v>1.0640000000000001</v>
      </c>
      <c r="L71" s="44">
        <f t="shared" si="0"/>
        <v>13.728233749999999</v>
      </c>
      <c r="M71" s="47">
        <v>1.07</v>
      </c>
      <c r="N71" s="44">
        <f t="shared" si="2"/>
        <v>12.830124999999999</v>
      </c>
      <c r="O71" s="70">
        <v>1.075</v>
      </c>
      <c r="P71" s="44">
        <f t="shared" si="1"/>
        <v>11.934999999999999</v>
      </c>
      <c r="Q71" s="70">
        <v>1.085</v>
      </c>
      <c r="R71" s="44">
        <v>11</v>
      </c>
      <c r="S71" s="44">
        <f t="shared" si="14"/>
        <v>11</v>
      </c>
      <c r="T71" s="45">
        <v>1.1000000000000001</v>
      </c>
      <c r="U71" s="44">
        <f t="shared" si="15"/>
        <v>17.627434289490292</v>
      </c>
      <c r="V71" s="15">
        <f t="shared" si="9"/>
        <v>16.598337372401403</v>
      </c>
      <c r="W71" s="260">
        <f t="shared" si="10"/>
        <v>16.598337372401403</v>
      </c>
      <c r="X71" s="132">
        <f>23*106.5%</f>
        <v>24.494999999999997</v>
      </c>
    </row>
    <row r="72" spans="1:24" x14ac:dyDescent="0.25">
      <c r="A72" s="355"/>
      <c r="B72" s="104" t="s">
        <v>577</v>
      </c>
      <c r="C72" s="47">
        <v>8.3522534659200023</v>
      </c>
      <c r="D72" s="47">
        <f t="shared" si="7"/>
        <v>8.8383546176365471</v>
      </c>
      <c r="E72" s="47">
        <f t="shared" si="11"/>
        <v>8.8383546176365471</v>
      </c>
      <c r="F72" s="47">
        <f t="shared" si="6"/>
        <v>9.6514832424591095</v>
      </c>
      <c r="G72" s="44">
        <v>11</v>
      </c>
      <c r="H72" s="44">
        <f t="shared" si="12"/>
        <v>16.922688909840002</v>
      </c>
      <c r="I72" s="70">
        <v>1.0620000000000001</v>
      </c>
      <c r="J72" s="44">
        <f t="shared" si="8"/>
        <v>15.934735320000001</v>
      </c>
      <c r="K72" s="70">
        <v>1.0640000000000001</v>
      </c>
      <c r="L72" s="44">
        <f t="shared" si="0"/>
        <v>14.976255</v>
      </c>
      <c r="M72" s="47">
        <v>1.07</v>
      </c>
      <c r="N72" s="44">
        <f t="shared" si="2"/>
        <v>13.996499999999999</v>
      </c>
      <c r="O72" s="70">
        <v>1.075</v>
      </c>
      <c r="P72" s="44">
        <f t="shared" si="1"/>
        <v>13.02</v>
      </c>
      <c r="Q72" s="70">
        <v>1.085</v>
      </c>
      <c r="R72" s="44">
        <v>12</v>
      </c>
      <c r="S72" s="44">
        <f t="shared" si="14"/>
        <v>12.100000000000001</v>
      </c>
      <c r="T72" s="45">
        <v>1.1000000000000001</v>
      </c>
      <c r="U72" s="44">
        <f t="shared" si="15"/>
        <v>19.229928315807591</v>
      </c>
      <c r="V72" s="15">
        <f t="shared" si="9"/>
        <v>18.107277133528804</v>
      </c>
      <c r="W72" s="260">
        <f t="shared" si="10"/>
        <v>18.107277133528804</v>
      </c>
      <c r="X72" s="132">
        <f>24*106.5%</f>
        <v>25.56</v>
      </c>
    </row>
    <row r="73" spans="1:24" x14ac:dyDescent="0.25">
      <c r="A73" s="355"/>
      <c r="B73" s="104" t="s">
        <v>578</v>
      </c>
      <c r="C73" s="47">
        <v>12.572339427648002</v>
      </c>
      <c r="D73" s="47">
        <f t="shared" si="7"/>
        <v>13.304049582337116</v>
      </c>
      <c r="E73" s="47">
        <f t="shared" si="11"/>
        <v>13.304049582337116</v>
      </c>
      <c r="F73" s="47">
        <f t="shared" si="6"/>
        <v>14.528022143912132</v>
      </c>
      <c r="G73" s="44">
        <v>17</v>
      </c>
      <c r="H73" s="44">
        <f t="shared" si="12"/>
        <v>26.794257440580001</v>
      </c>
      <c r="I73" s="70">
        <v>1.0620000000000001</v>
      </c>
      <c r="J73" s="44">
        <f t="shared" si="8"/>
        <v>25.22999759</v>
      </c>
      <c r="K73" s="70">
        <v>1.0640000000000001</v>
      </c>
      <c r="L73" s="44">
        <f t="shared" si="0"/>
        <v>23.71240375</v>
      </c>
      <c r="M73" s="47">
        <v>1.07</v>
      </c>
      <c r="N73" s="44">
        <f t="shared" si="2"/>
        <v>22.161124999999998</v>
      </c>
      <c r="O73" s="70">
        <v>1.075</v>
      </c>
      <c r="P73" s="44">
        <f t="shared" si="1"/>
        <v>20.614999999999998</v>
      </c>
      <c r="Q73" s="70">
        <v>1.085</v>
      </c>
      <c r="R73" s="44">
        <v>19</v>
      </c>
      <c r="S73" s="44">
        <f t="shared" si="14"/>
        <v>18.700000000000003</v>
      </c>
      <c r="T73" s="45">
        <v>1.1000000000000001</v>
      </c>
      <c r="U73" s="44">
        <f t="shared" si="14"/>
        <v>30.447386500028681</v>
      </c>
      <c r="V73" s="15">
        <f t="shared" si="9"/>
        <v>28.669855461420603</v>
      </c>
      <c r="W73" s="260">
        <f t="shared" si="10"/>
        <v>28.669855461420603</v>
      </c>
      <c r="X73" s="132">
        <f>36*106.5%</f>
        <v>38.339999999999996</v>
      </c>
    </row>
    <row r="74" spans="1:24" x14ac:dyDescent="0.25">
      <c r="A74" s="355"/>
      <c r="B74" s="33" t="s">
        <v>949</v>
      </c>
      <c r="C74" s="47">
        <v>22.712268196800007</v>
      </c>
      <c r="D74" s="47">
        <f t="shared" si="7"/>
        <v>24.03412220585377</v>
      </c>
      <c r="E74" s="47">
        <f t="shared" si="11"/>
        <v>24.03412220585377</v>
      </c>
      <c r="F74" s="47">
        <f t="shared" si="6"/>
        <v>26.24526144879232</v>
      </c>
      <c r="G74" s="44">
        <v>29</v>
      </c>
      <c r="H74" s="44">
        <f t="shared" si="12"/>
        <v>45.127170426240006</v>
      </c>
      <c r="I74" s="70">
        <v>1.0620000000000001</v>
      </c>
      <c r="J74" s="44">
        <f t="shared" si="8"/>
        <v>42.492627520000006</v>
      </c>
      <c r="K74" s="70">
        <v>1.0640000000000001</v>
      </c>
      <c r="L74" s="44">
        <f t="shared" si="0"/>
        <v>39.936680000000003</v>
      </c>
      <c r="M74" s="47">
        <v>1.07</v>
      </c>
      <c r="N74" s="44">
        <f t="shared" si="2"/>
        <v>37.323999999999998</v>
      </c>
      <c r="O74" s="70">
        <v>1.075</v>
      </c>
      <c r="P74" s="44">
        <f t="shared" si="1"/>
        <v>34.72</v>
      </c>
      <c r="Q74" s="70">
        <v>1.085</v>
      </c>
      <c r="R74" s="44">
        <v>32</v>
      </c>
      <c r="S74" s="44">
        <f t="shared" ref="S74:U86" si="16">G74*T74</f>
        <v>31.900000000000002</v>
      </c>
      <c r="T74" s="45">
        <v>1.1000000000000001</v>
      </c>
      <c r="U74" s="44">
        <f t="shared" si="16"/>
        <v>51.279808842153571</v>
      </c>
      <c r="V74" s="15">
        <f t="shared" si="9"/>
        <v>48.286072356076808</v>
      </c>
      <c r="W74" s="260">
        <f t="shared" si="10"/>
        <v>48.286072356076808</v>
      </c>
      <c r="X74" s="132">
        <f>100*106.5%</f>
        <v>106.5</v>
      </c>
    </row>
    <row r="75" spans="1:24" x14ac:dyDescent="0.25">
      <c r="A75" s="355"/>
      <c r="B75" s="33" t="s">
        <v>579</v>
      </c>
      <c r="C75" s="47">
        <v>3.3702075388800008</v>
      </c>
      <c r="D75" s="47">
        <f t="shared" si="7"/>
        <v>3.5663536176428168</v>
      </c>
      <c r="E75" s="47">
        <f t="shared" si="11"/>
        <v>3.5663536176428168</v>
      </c>
      <c r="F75" s="47">
        <f t="shared" si="6"/>
        <v>3.8944581504659563</v>
      </c>
      <c r="G75" s="44">
        <v>5</v>
      </c>
      <c r="H75" s="44">
        <f t="shared" si="12"/>
        <v>8.4613444549200008</v>
      </c>
      <c r="I75" s="70">
        <v>1.0620000000000001</v>
      </c>
      <c r="J75" s="44">
        <f t="shared" si="8"/>
        <v>7.9673676600000007</v>
      </c>
      <c r="K75" s="70">
        <v>1.0640000000000001</v>
      </c>
      <c r="L75" s="44">
        <f t="shared" si="0"/>
        <v>7.4881275</v>
      </c>
      <c r="M75" s="47">
        <v>1.07</v>
      </c>
      <c r="N75" s="44">
        <f t="shared" si="2"/>
        <v>6.9982499999999996</v>
      </c>
      <c r="O75" s="70">
        <v>1.075</v>
      </c>
      <c r="P75" s="44">
        <f t="shared" si="1"/>
        <v>6.51</v>
      </c>
      <c r="Q75" s="70">
        <v>1.085</v>
      </c>
      <c r="R75" s="44">
        <v>6</v>
      </c>
      <c r="S75" s="44">
        <f t="shared" si="16"/>
        <v>5.5</v>
      </c>
      <c r="T75" s="45">
        <v>1.1000000000000001</v>
      </c>
      <c r="U75" s="44">
        <f t="shared" si="16"/>
        <v>9.6149641579037954</v>
      </c>
      <c r="V75" s="15">
        <f t="shared" si="9"/>
        <v>9.0536385667644019</v>
      </c>
      <c r="W75" s="260">
        <f t="shared" si="10"/>
        <v>9.0536385667644019</v>
      </c>
      <c r="X75" s="132">
        <f>11*106.5%</f>
        <v>11.715</v>
      </c>
    </row>
    <row r="76" spans="1:24" x14ac:dyDescent="0.25">
      <c r="A76" s="355"/>
      <c r="B76" s="33" t="s">
        <v>580</v>
      </c>
      <c r="C76" s="47">
        <v>8.3522534659200023</v>
      </c>
      <c r="D76" s="47">
        <f t="shared" si="7"/>
        <v>8.8383546176365471</v>
      </c>
      <c r="E76" s="47">
        <f t="shared" si="11"/>
        <v>8.8383546176365471</v>
      </c>
      <c r="F76" s="47">
        <f t="shared" si="6"/>
        <v>9.6514832424591095</v>
      </c>
      <c r="G76" s="44">
        <v>11</v>
      </c>
      <c r="H76" s="44">
        <f t="shared" si="12"/>
        <v>16.922688909840002</v>
      </c>
      <c r="I76" s="70">
        <v>1.0620000000000001</v>
      </c>
      <c r="J76" s="44">
        <f t="shared" si="8"/>
        <v>15.934735320000001</v>
      </c>
      <c r="K76" s="70">
        <v>1.0640000000000001</v>
      </c>
      <c r="L76" s="44">
        <f t="shared" si="0"/>
        <v>14.976255</v>
      </c>
      <c r="M76" s="47">
        <v>1.07</v>
      </c>
      <c r="N76" s="44">
        <f t="shared" si="2"/>
        <v>13.996499999999999</v>
      </c>
      <c r="O76" s="70">
        <v>1.075</v>
      </c>
      <c r="P76" s="44">
        <f t="shared" si="1"/>
        <v>13.02</v>
      </c>
      <c r="Q76" s="70">
        <v>1.085</v>
      </c>
      <c r="R76" s="44">
        <v>12</v>
      </c>
      <c r="S76" s="44">
        <f t="shared" si="16"/>
        <v>12.100000000000001</v>
      </c>
      <c r="T76" s="45">
        <v>1.1000000000000001</v>
      </c>
      <c r="U76" s="44">
        <f t="shared" si="16"/>
        <v>19.229928315807591</v>
      </c>
      <c r="V76" s="15">
        <f t="shared" si="9"/>
        <v>18.107277133528804</v>
      </c>
      <c r="W76" s="260">
        <f t="shared" si="10"/>
        <v>18.107277133528804</v>
      </c>
      <c r="X76" s="132">
        <f>24*106.5%</f>
        <v>25.56</v>
      </c>
    </row>
    <row r="77" spans="1:24" x14ac:dyDescent="0.25">
      <c r="A77" s="355"/>
      <c r="B77" s="33" t="s">
        <v>581</v>
      </c>
      <c r="C77" s="47">
        <v>10.139928769152002</v>
      </c>
      <c r="D77" s="47">
        <f t="shared" si="7"/>
        <v>10.730072623516648</v>
      </c>
      <c r="E77" s="47">
        <f t="shared" si="11"/>
        <v>10.730072623516648</v>
      </c>
      <c r="F77" s="47">
        <f t="shared" si="6"/>
        <v>11.717239304880181</v>
      </c>
      <c r="G77" s="44">
        <v>13</v>
      </c>
      <c r="H77" s="44">
        <f t="shared" si="12"/>
        <v>19.743137061480002</v>
      </c>
      <c r="I77" s="70">
        <v>1.0620000000000001</v>
      </c>
      <c r="J77" s="44">
        <f t="shared" si="8"/>
        <v>18.590524540000001</v>
      </c>
      <c r="K77" s="70">
        <v>1.0640000000000001</v>
      </c>
      <c r="L77" s="44">
        <f t="shared" si="0"/>
        <v>17.4722975</v>
      </c>
      <c r="M77" s="47">
        <v>1.07</v>
      </c>
      <c r="N77" s="44">
        <f t="shared" si="2"/>
        <v>16.329249999999998</v>
      </c>
      <c r="O77" s="70">
        <v>1.075</v>
      </c>
      <c r="P77" s="44">
        <f t="shared" si="1"/>
        <v>15.19</v>
      </c>
      <c r="Q77" s="70">
        <v>1.085</v>
      </c>
      <c r="R77" s="44">
        <v>14</v>
      </c>
      <c r="S77" s="44">
        <f t="shared" si="16"/>
        <v>14.3</v>
      </c>
      <c r="T77" s="45">
        <v>1.1000000000000001</v>
      </c>
      <c r="U77" s="44">
        <f t="shared" si="16"/>
        <v>22.434916368442188</v>
      </c>
      <c r="V77" s="15">
        <f t="shared" si="9"/>
        <v>21.125156655783602</v>
      </c>
      <c r="W77" s="260">
        <f t="shared" si="10"/>
        <v>21.125156655783602</v>
      </c>
      <c r="X77" s="132">
        <f>27*106.5%</f>
        <v>28.754999999999999</v>
      </c>
    </row>
    <row r="78" spans="1:24" x14ac:dyDescent="0.25">
      <c r="A78" s="355"/>
      <c r="B78" s="55" t="s">
        <v>582</v>
      </c>
      <c r="C78" s="47">
        <v>13.480830155520003</v>
      </c>
      <c r="D78" s="47">
        <f t="shared" si="7"/>
        <v>14.265414470571267</v>
      </c>
      <c r="E78" s="47">
        <f t="shared" si="11"/>
        <v>14.265414470571267</v>
      </c>
      <c r="F78" s="47">
        <v>20.57</v>
      </c>
      <c r="G78" s="44">
        <v>23</v>
      </c>
      <c r="H78" s="44">
        <f t="shared" si="12"/>
        <v>35.2556018955</v>
      </c>
      <c r="I78" s="70">
        <v>1.0620000000000001</v>
      </c>
      <c r="J78" s="44">
        <f t="shared" si="8"/>
        <v>33.197365249999997</v>
      </c>
      <c r="K78" s="70">
        <v>1.0640000000000001</v>
      </c>
      <c r="L78" s="44">
        <f t="shared" si="0"/>
        <v>31.200531249999997</v>
      </c>
      <c r="M78" s="47">
        <v>1.07</v>
      </c>
      <c r="N78" s="44">
        <f>O78*P78</f>
        <v>29.159374999999997</v>
      </c>
      <c r="O78" s="70">
        <v>1.075</v>
      </c>
      <c r="P78" s="44">
        <f t="shared" si="1"/>
        <v>27.125</v>
      </c>
      <c r="Q78" s="70">
        <v>1.085</v>
      </c>
      <c r="R78" s="44">
        <v>25</v>
      </c>
      <c r="S78" s="44">
        <f t="shared" si="16"/>
        <v>25.3</v>
      </c>
      <c r="T78" s="45">
        <v>1.1000000000000001</v>
      </c>
      <c r="U78" s="44">
        <f t="shared" si="16"/>
        <v>40.062350657932477</v>
      </c>
      <c r="V78" s="15">
        <f t="shared" si="9"/>
        <v>37.723494028185002</v>
      </c>
      <c r="W78" s="260">
        <f t="shared" si="10"/>
        <v>37.723494028185002</v>
      </c>
      <c r="X78" s="132">
        <f>49*106.5%</f>
        <v>52.184999999999995</v>
      </c>
    </row>
    <row r="79" spans="1:24" x14ac:dyDescent="0.25">
      <c r="A79" s="355"/>
      <c r="B79" s="55" t="s">
        <v>583</v>
      </c>
      <c r="C79" s="47">
        <v>151.07321619936002</v>
      </c>
      <c r="D79" s="47">
        <v>53</v>
      </c>
      <c r="E79" s="47">
        <f t="shared" si="11"/>
        <v>53</v>
      </c>
      <c r="F79" s="47">
        <f t="shared" si="6"/>
        <v>57.876000000000005</v>
      </c>
      <c r="G79" s="44">
        <v>64</v>
      </c>
      <c r="H79" s="44">
        <f t="shared" si="12"/>
        <v>98.715685307400008</v>
      </c>
      <c r="I79" s="70">
        <v>1.0620000000000001</v>
      </c>
      <c r="J79" s="44">
        <f t="shared" si="8"/>
        <v>92.952622700000006</v>
      </c>
      <c r="K79" s="70">
        <v>1.0640000000000001</v>
      </c>
      <c r="L79" s="44">
        <f t="shared" si="0"/>
        <v>87.361487499999996</v>
      </c>
      <c r="M79" s="47">
        <v>1.07</v>
      </c>
      <c r="N79" s="44">
        <f t="shared" si="2"/>
        <v>81.646249999999995</v>
      </c>
      <c r="O79" s="70">
        <v>1.075</v>
      </c>
      <c r="P79" s="44">
        <f t="shared" si="1"/>
        <v>75.95</v>
      </c>
      <c r="Q79" s="70">
        <v>1.085</v>
      </c>
      <c r="R79" s="44">
        <v>70</v>
      </c>
      <c r="S79" s="44">
        <f t="shared" si="16"/>
        <v>70.400000000000006</v>
      </c>
      <c r="T79" s="45">
        <v>1.1000000000000001</v>
      </c>
      <c r="U79" s="44">
        <f t="shared" si="16"/>
        <v>112.17458184221094</v>
      </c>
      <c r="V79" s="15">
        <f t="shared" si="9"/>
        <v>105.62578327891802</v>
      </c>
      <c r="W79" s="260">
        <f t="shared" si="10"/>
        <v>105.62578327891802</v>
      </c>
      <c r="X79" s="132">
        <f>136*106.5%</f>
        <v>144.84</v>
      </c>
    </row>
    <row r="80" spans="1:24" x14ac:dyDescent="0.25">
      <c r="A80" s="355"/>
      <c r="B80" s="55" t="s">
        <v>584</v>
      </c>
      <c r="C80" s="47"/>
      <c r="D80" s="47"/>
      <c r="E80" s="47">
        <v>164.36</v>
      </c>
      <c r="F80" s="47">
        <f t="shared" si="6"/>
        <v>179.48112000000003</v>
      </c>
      <c r="G80" s="44">
        <v>197</v>
      </c>
      <c r="H80" s="44">
        <f t="shared" si="12"/>
        <v>305.59555723019406</v>
      </c>
      <c r="I80" s="70">
        <v>1.0620000000000001</v>
      </c>
      <c r="J80" s="44">
        <f t="shared" si="8"/>
        <v>287.75476198700005</v>
      </c>
      <c r="K80" s="70">
        <v>1.0640000000000001</v>
      </c>
      <c r="L80" s="44">
        <f t="shared" si="0"/>
        <v>270.44620487500003</v>
      </c>
      <c r="M80" s="47">
        <v>1.07</v>
      </c>
      <c r="N80" s="44">
        <f t="shared" si="2"/>
        <v>252.75346250000001</v>
      </c>
      <c r="O80" s="70">
        <v>1.075</v>
      </c>
      <c r="P80" s="44">
        <f t="shared" si="1"/>
        <v>235.11950000000002</v>
      </c>
      <c r="Q80" s="70">
        <v>1.085</v>
      </c>
      <c r="R80" s="44">
        <f>S80</f>
        <v>216.70000000000002</v>
      </c>
      <c r="S80" s="44">
        <f t="shared" si="16"/>
        <v>216.70000000000002</v>
      </c>
      <c r="T80" s="45">
        <v>1.1000000000000001</v>
      </c>
      <c r="U80" s="44">
        <f t="shared" si="16"/>
        <v>347.26045550295873</v>
      </c>
      <c r="V80" s="15">
        <f t="shared" si="9"/>
        <v>326.98724623630767</v>
      </c>
      <c r="W80" s="260">
        <f t="shared" si="10"/>
        <v>326.98724623630767</v>
      </c>
      <c r="X80" s="132">
        <f>420*106.5%</f>
        <v>447.29999999999995</v>
      </c>
    </row>
    <row r="81" spans="1:24" x14ac:dyDescent="0.25">
      <c r="A81" s="355"/>
      <c r="B81" s="55" t="s">
        <v>585</v>
      </c>
      <c r="C81" s="47">
        <v>3.5753506064640006</v>
      </c>
      <c r="D81" s="47">
        <f t="shared" ref="D81:D91" si="17">C81*1.0582</f>
        <v>3.7834360117602057</v>
      </c>
      <c r="E81" s="47">
        <f t="shared" si="11"/>
        <v>3.7834360117602057</v>
      </c>
      <c r="F81" s="47">
        <f t="shared" si="6"/>
        <v>4.1315121248421454</v>
      </c>
      <c r="G81" s="44">
        <v>5</v>
      </c>
      <c r="H81" s="44">
        <f t="shared" si="12"/>
        <v>7.7562324170100005</v>
      </c>
      <c r="I81" s="70">
        <v>1.0620000000000001</v>
      </c>
      <c r="J81" s="44">
        <f t="shared" si="8"/>
        <v>7.3034203550000001</v>
      </c>
      <c r="K81" s="70">
        <v>1.0640000000000001</v>
      </c>
      <c r="L81" s="44">
        <f t="shared" si="0"/>
        <v>6.8641168749999997</v>
      </c>
      <c r="M81" s="47">
        <v>1.07</v>
      </c>
      <c r="N81" s="44">
        <f t="shared" si="2"/>
        <v>6.4150624999999994</v>
      </c>
      <c r="O81" s="70">
        <v>1.075</v>
      </c>
      <c r="P81" s="44">
        <f t="shared" si="1"/>
        <v>5.9674999999999994</v>
      </c>
      <c r="Q81" s="70">
        <v>1.085</v>
      </c>
      <c r="R81" s="44">
        <f>S81</f>
        <v>5.5</v>
      </c>
      <c r="S81" s="44">
        <f t="shared" si="16"/>
        <v>5.5</v>
      </c>
      <c r="T81" s="45">
        <v>1.1000000000000001</v>
      </c>
      <c r="U81" s="44">
        <f t="shared" si="16"/>
        <v>8.8137171447451461</v>
      </c>
      <c r="V81" s="15">
        <f t="shared" si="9"/>
        <v>8.2991686862007015</v>
      </c>
      <c r="W81" s="260">
        <f t="shared" si="10"/>
        <v>8.2991686862007015</v>
      </c>
      <c r="X81" s="132">
        <f>10*106.5%</f>
        <v>10.649999999999999</v>
      </c>
    </row>
    <row r="82" spans="1:24" x14ac:dyDescent="0.25">
      <c r="A82" s="355"/>
      <c r="B82" s="55" t="s">
        <v>586</v>
      </c>
      <c r="C82" s="47">
        <v>4.1761267329600011</v>
      </c>
      <c r="D82" s="47">
        <f t="shared" si="17"/>
        <v>4.4191773088182735</v>
      </c>
      <c r="E82" s="47">
        <f t="shared" si="11"/>
        <v>4.4191773088182735</v>
      </c>
      <c r="F82" s="47">
        <f t="shared" si="6"/>
        <v>4.8257416212295547</v>
      </c>
      <c r="G82" s="44">
        <v>6</v>
      </c>
      <c r="H82" s="44">
        <f t="shared" si="12"/>
        <v>9.0982198440000008</v>
      </c>
      <c r="I82" s="70">
        <v>1.0620000000000001</v>
      </c>
      <c r="J82" s="44">
        <f t="shared" si="8"/>
        <v>8.567062</v>
      </c>
      <c r="K82" s="70">
        <v>1.0640000000000001</v>
      </c>
      <c r="L82" s="44">
        <f t="shared" si="0"/>
        <v>8.0517500000000002</v>
      </c>
      <c r="M82" s="47">
        <v>1.07</v>
      </c>
      <c r="N82" s="44">
        <f t="shared" si="2"/>
        <v>7.5249999999999995</v>
      </c>
      <c r="O82" s="70">
        <v>1.075</v>
      </c>
      <c r="P82" s="44">
        <v>7</v>
      </c>
      <c r="Q82" s="70">
        <v>1.085</v>
      </c>
      <c r="R82" s="44">
        <v>7</v>
      </c>
      <c r="S82" s="44">
        <f t="shared" si="16"/>
        <v>6.6000000000000005</v>
      </c>
      <c r="T82" s="45">
        <v>1.1000000000000001</v>
      </c>
      <c r="U82" s="44">
        <f t="shared" si="16"/>
        <v>10.338671137530962</v>
      </c>
      <c r="V82" s="15">
        <f t="shared" si="9"/>
        <v>9.7350952330800009</v>
      </c>
      <c r="W82" s="260">
        <f t="shared" si="10"/>
        <v>9.7350952330800009</v>
      </c>
      <c r="X82" s="132">
        <f>12*106.5%</f>
        <v>12.78</v>
      </c>
    </row>
    <row r="83" spans="1:24" x14ac:dyDescent="0.25">
      <c r="A83" s="355"/>
      <c r="B83" s="104" t="s">
        <v>591</v>
      </c>
      <c r="C83" s="47">
        <v>8.967682668672003</v>
      </c>
      <c r="D83" s="47">
        <f t="shared" si="17"/>
        <v>9.4896017999887139</v>
      </c>
      <c r="E83" s="47">
        <f t="shared" si="11"/>
        <v>9.4896017999887139</v>
      </c>
      <c r="F83" s="47">
        <f t="shared" si="6"/>
        <v>10.362645165587676</v>
      </c>
      <c r="G83" s="44">
        <v>11</v>
      </c>
      <c r="H83" s="44">
        <f t="shared" si="12"/>
        <v>17.063711317422005</v>
      </c>
      <c r="I83" s="70">
        <v>1.0620000000000001</v>
      </c>
      <c r="J83" s="44">
        <f t="shared" si="8"/>
        <v>16.067524781000003</v>
      </c>
      <c r="K83" s="70">
        <v>1.0640000000000001</v>
      </c>
      <c r="L83" s="44">
        <f t="shared" si="0"/>
        <v>15.101057125000002</v>
      </c>
      <c r="M83" s="47">
        <v>1.07</v>
      </c>
      <c r="N83" s="44">
        <f t="shared" si="2"/>
        <v>14.113137500000001</v>
      </c>
      <c r="O83" s="70">
        <v>1.075</v>
      </c>
      <c r="P83" s="44">
        <f t="shared" si="1"/>
        <v>13.128500000000001</v>
      </c>
      <c r="Q83" s="70">
        <v>1.085</v>
      </c>
      <c r="R83" s="44">
        <f t="shared" ref="R83:R91" si="18">S83</f>
        <v>12.100000000000001</v>
      </c>
      <c r="S83" s="44">
        <f t="shared" si="16"/>
        <v>12.100000000000001</v>
      </c>
      <c r="T83" s="45">
        <v>1.1000000000000001</v>
      </c>
      <c r="U83" s="44">
        <f t="shared" si="16"/>
        <v>19.390177718439322</v>
      </c>
      <c r="V83" s="15">
        <f t="shared" si="9"/>
        <v>18.258171109641545</v>
      </c>
      <c r="W83" s="260">
        <f t="shared" si="10"/>
        <v>18.258171109641545</v>
      </c>
      <c r="X83" s="132">
        <f>24*106.5%</f>
        <v>25.56</v>
      </c>
    </row>
    <row r="84" spans="1:24" x14ac:dyDescent="0.25">
      <c r="A84" s="355"/>
      <c r="B84" s="55" t="s">
        <v>592</v>
      </c>
      <c r="C84" s="47">
        <v>9.202131888768001</v>
      </c>
      <c r="D84" s="47">
        <f t="shared" si="17"/>
        <v>9.7376959646942982</v>
      </c>
      <c r="E84" s="47">
        <f t="shared" si="11"/>
        <v>9.7376959646942982</v>
      </c>
      <c r="F84" s="47">
        <f t="shared" si="6"/>
        <v>10.633563993446174</v>
      </c>
      <c r="G84" s="44">
        <v>12</v>
      </c>
      <c r="H84" s="44">
        <f t="shared" si="12"/>
        <v>18.614957800824005</v>
      </c>
      <c r="I84" s="70">
        <v>1.0620000000000001</v>
      </c>
      <c r="J84" s="44">
        <f t="shared" si="8"/>
        <v>17.528208852000002</v>
      </c>
      <c r="K84" s="70">
        <v>1.0640000000000001</v>
      </c>
      <c r="L84" s="44">
        <f t="shared" si="0"/>
        <v>16.4738805</v>
      </c>
      <c r="M84" s="47">
        <v>1.07</v>
      </c>
      <c r="N84" s="44">
        <f t="shared" si="2"/>
        <v>15.39615</v>
      </c>
      <c r="O84" s="70">
        <v>1.075</v>
      </c>
      <c r="P84" s="44">
        <f t="shared" si="1"/>
        <v>14.322000000000001</v>
      </c>
      <c r="Q84" s="70">
        <v>1.085</v>
      </c>
      <c r="R84" s="44">
        <f t="shared" si="18"/>
        <v>13.200000000000001</v>
      </c>
      <c r="S84" s="44">
        <f t="shared" si="16"/>
        <v>13.200000000000001</v>
      </c>
      <c r="T84" s="45">
        <v>1.1000000000000001</v>
      </c>
      <c r="U84" s="44">
        <f t="shared" si="16"/>
        <v>21.152921147388351</v>
      </c>
      <c r="V84" s="15">
        <f t="shared" si="9"/>
        <v>19.918004846881686</v>
      </c>
      <c r="W84" s="260">
        <f t="shared" si="10"/>
        <v>19.918004846881686</v>
      </c>
      <c r="X84" s="132">
        <f>26*106.5%</f>
        <v>27.689999999999998</v>
      </c>
    </row>
    <row r="85" spans="1:24" x14ac:dyDescent="0.25">
      <c r="A85" s="355"/>
      <c r="B85" s="55" t="s">
        <v>593</v>
      </c>
      <c r="C85" s="47">
        <v>3.5753506064640006</v>
      </c>
      <c r="D85" s="47">
        <f t="shared" si="17"/>
        <v>3.7834360117602057</v>
      </c>
      <c r="E85" s="47">
        <f t="shared" si="11"/>
        <v>3.7834360117602057</v>
      </c>
      <c r="F85" s="47">
        <f t="shared" si="6"/>
        <v>4.1315121248421454</v>
      </c>
      <c r="G85" s="44">
        <v>5</v>
      </c>
      <c r="H85" s="44">
        <f t="shared" si="12"/>
        <v>7.7562324170100005</v>
      </c>
      <c r="I85" s="70">
        <v>1.0620000000000001</v>
      </c>
      <c r="J85" s="44">
        <f t="shared" si="8"/>
        <v>7.3034203550000001</v>
      </c>
      <c r="K85" s="70">
        <v>1.0640000000000001</v>
      </c>
      <c r="L85" s="44">
        <f t="shared" si="0"/>
        <v>6.8641168749999997</v>
      </c>
      <c r="M85" s="47">
        <v>1.07</v>
      </c>
      <c r="N85" s="44">
        <f t="shared" si="2"/>
        <v>6.4150624999999994</v>
      </c>
      <c r="O85" s="70">
        <v>1.075</v>
      </c>
      <c r="P85" s="44">
        <f t="shared" si="1"/>
        <v>5.9674999999999994</v>
      </c>
      <c r="Q85" s="70">
        <v>1.085</v>
      </c>
      <c r="R85" s="44">
        <f t="shared" si="18"/>
        <v>5.5</v>
      </c>
      <c r="S85" s="44">
        <f t="shared" si="16"/>
        <v>5.5</v>
      </c>
      <c r="T85" s="45">
        <v>1.1000000000000001</v>
      </c>
      <c r="U85" s="44">
        <f t="shared" si="16"/>
        <v>8.8137171447451461</v>
      </c>
      <c r="V85" s="15">
        <f t="shared" si="9"/>
        <v>8.2991686862007015</v>
      </c>
      <c r="W85" s="260">
        <f t="shared" si="10"/>
        <v>8.2991686862007015</v>
      </c>
      <c r="X85" s="132">
        <f>10*106.5%</f>
        <v>10.649999999999999</v>
      </c>
    </row>
    <row r="86" spans="1:24" x14ac:dyDescent="0.25">
      <c r="A86" s="355"/>
      <c r="B86" s="128" t="s">
        <v>594</v>
      </c>
      <c r="C86" s="47">
        <v>4.1761267329600011</v>
      </c>
      <c r="D86" s="47">
        <f t="shared" si="17"/>
        <v>4.4191773088182735</v>
      </c>
      <c r="E86" s="47">
        <f t="shared" si="11"/>
        <v>4.4191773088182735</v>
      </c>
      <c r="F86" s="47">
        <f t="shared" si="6"/>
        <v>4.8257416212295547</v>
      </c>
      <c r="G86" s="44">
        <v>6</v>
      </c>
      <c r="H86" s="44">
        <f t="shared" si="12"/>
        <v>9.3074789004120024</v>
      </c>
      <c r="I86" s="70">
        <v>1.0620000000000001</v>
      </c>
      <c r="J86" s="44">
        <f t="shared" si="8"/>
        <v>8.7641044260000012</v>
      </c>
      <c r="K86" s="70">
        <v>1.0640000000000001</v>
      </c>
      <c r="L86" s="44">
        <f t="shared" si="0"/>
        <v>8.23694025</v>
      </c>
      <c r="M86" s="47">
        <v>1.07</v>
      </c>
      <c r="N86" s="44">
        <f t="shared" si="2"/>
        <v>7.6980750000000002</v>
      </c>
      <c r="O86" s="70">
        <v>1.075</v>
      </c>
      <c r="P86" s="44">
        <f t="shared" si="1"/>
        <v>7.1610000000000005</v>
      </c>
      <c r="Q86" s="70">
        <v>1.085</v>
      </c>
      <c r="R86" s="44">
        <f t="shared" si="18"/>
        <v>6.6000000000000005</v>
      </c>
      <c r="S86" s="44">
        <f t="shared" si="16"/>
        <v>6.6000000000000005</v>
      </c>
      <c r="T86" s="45">
        <v>1.1000000000000001</v>
      </c>
      <c r="U86" s="44">
        <f t="shared" si="16"/>
        <v>10.576460573694176</v>
      </c>
      <c r="V86" s="15">
        <f t="shared" si="9"/>
        <v>9.9590024234408432</v>
      </c>
      <c r="W86" s="260">
        <f t="shared" si="10"/>
        <v>9.9590024234408432</v>
      </c>
      <c r="X86" s="132">
        <f>12*106.5%</f>
        <v>12.78</v>
      </c>
    </row>
    <row r="87" spans="1:24" x14ac:dyDescent="0.25">
      <c r="A87" s="355"/>
      <c r="B87" s="128" t="s">
        <v>90</v>
      </c>
      <c r="C87" s="47"/>
      <c r="D87" s="47"/>
      <c r="E87" s="47"/>
      <c r="F87" s="47"/>
      <c r="G87" s="44"/>
      <c r="H87" s="44">
        <f t="shared" si="12"/>
        <v>22.563585213120003</v>
      </c>
      <c r="I87" s="70">
        <v>1.0620000000000001</v>
      </c>
      <c r="J87" s="44">
        <f t="shared" si="8"/>
        <v>21.246313760000003</v>
      </c>
      <c r="K87" s="70">
        <v>1.0640000000000001</v>
      </c>
      <c r="L87" s="44">
        <f t="shared" si="0"/>
        <v>19.968340000000001</v>
      </c>
      <c r="M87" s="47">
        <v>1.07</v>
      </c>
      <c r="N87" s="44">
        <f>O87*P87</f>
        <v>18.661999999999999</v>
      </c>
      <c r="O87" s="70">
        <v>1.075</v>
      </c>
      <c r="P87" s="44">
        <f t="shared" si="1"/>
        <v>17.36</v>
      </c>
      <c r="Q87" s="70">
        <v>1.085</v>
      </c>
      <c r="R87" s="44">
        <f t="shared" si="18"/>
        <v>16</v>
      </c>
      <c r="S87" s="44">
        <v>16</v>
      </c>
      <c r="T87" s="45"/>
      <c r="U87" s="44">
        <v>17</v>
      </c>
      <c r="V87" s="15">
        <f t="shared" si="9"/>
        <v>24.143036178038404</v>
      </c>
      <c r="W87" s="260">
        <f t="shared" si="10"/>
        <v>24.143036178038404</v>
      </c>
      <c r="X87" s="132">
        <f>30*106.5%</f>
        <v>31.95</v>
      </c>
    </row>
    <row r="88" spans="1:24" x14ac:dyDescent="0.25">
      <c r="A88" s="355"/>
      <c r="B88" s="104" t="s">
        <v>595</v>
      </c>
      <c r="C88" s="47">
        <v>4.7475967069440008</v>
      </c>
      <c r="D88" s="47">
        <f t="shared" si="17"/>
        <v>5.023906835288142</v>
      </c>
      <c r="E88" s="47">
        <f t="shared" si="11"/>
        <v>5.023906835288142</v>
      </c>
      <c r="F88" s="47">
        <f t="shared" si="6"/>
        <v>5.4861062641346514</v>
      </c>
      <c r="G88" s="44">
        <v>6</v>
      </c>
      <c r="H88" s="44">
        <f t="shared" si="12"/>
        <v>9.3074789004120024</v>
      </c>
      <c r="I88" s="70">
        <v>1.0620000000000001</v>
      </c>
      <c r="J88" s="44">
        <f t="shared" si="8"/>
        <v>8.7641044260000012</v>
      </c>
      <c r="K88" s="70">
        <v>1.0640000000000001</v>
      </c>
      <c r="L88" s="44">
        <f t="shared" si="0"/>
        <v>8.23694025</v>
      </c>
      <c r="M88" s="47">
        <v>1.07</v>
      </c>
      <c r="N88" s="44">
        <f>O88*P88</f>
        <v>7.6980750000000002</v>
      </c>
      <c r="O88" s="70">
        <v>1.075</v>
      </c>
      <c r="P88" s="44">
        <f t="shared" si="1"/>
        <v>7.1610000000000005</v>
      </c>
      <c r="Q88" s="70">
        <v>1.085</v>
      </c>
      <c r="R88" s="44">
        <f t="shared" si="18"/>
        <v>6.6000000000000005</v>
      </c>
      <c r="S88" s="44">
        <f>G88*T88</f>
        <v>6.6000000000000005</v>
      </c>
      <c r="T88" s="45">
        <v>1.1000000000000001</v>
      </c>
      <c r="U88" s="44">
        <f>I88*V88</f>
        <v>10.576460573694176</v>
      </c>
      <c r="V88" s="15">
        <f t="shared" si="9"/>
        <v>9.9590024234408432</v>
      </c>
      <c r="W88" s="260">
        <f t="shared" si="10"/>
        <v>9.9590024234408432</v>
      </c>
      <c r="X88" s="132">
        <f>12*106.5%</f>
        <v>12.78</v>
      </c>
    </row>
    <row r="89" spans="1:24" x14ac:dyDescent="0.25">
      <c r="A89" s="355"/>
      <c r="B89" s="104" t="s">
        <v>596</v>
      </c>
      <c r="C89" s="47">
        <v>7.1800073654400025</v>
      </c>
      <c r="D89" s="47">
        <f t="shared" si="17"/>
        <v>7.5978837941086113</v>
      </c>
      <c r="E89" s="47">
        <f t="shared" si="11"/>
        <v>7.5978837941086113</v>
      </c>
      <c r="F89" s="47">
        <f t="shared" si="6"/>
        <v>8.2968891031666043</v>
      </c>
      <c r="G89" s="44">
        <v>9</v>
      </c>
      <c r="H89" s="44">
        <f t="shared" si="12"/>
        <v>13.961218350618001</v>
      </c>
      <c r="I89" s="70">
        <v>1.0620000000000001</v>
      </c>
      <c r="J89" s="44">
        <f t="shared" si="8"/>
        <v>13.146156639000001</v>
      </c>
      <c r="K89" s="70">
        <v>1.0640000000000001</v>
      </c>
      <c r="L89" s="44">
        <f t="shared" si="0"/>
        <v>12.355410375</v>
      </c>
      <c r="M89" s="47">
        <v>1.07</v>
      </c>
      <c r="N89" s="44">
        <f>O89*P89</f>
        <v>11.547112499999999</v>
      </c>
      <c r="O89" s="70">
        <v>1.075</v>
      </c>
      <c r="P89" s="44">
        <f t="shared" si="1"/>
        <v>10.7415</v>
      </c>
      <c r="Q89" s="70">
        <v>1.085</v>
      </c>
      <c r="R89" s="44">
        <f t="shared" si="18"/>
        <v>9.9</v>
      </c>
      <c r="S89" s="44">
        <f>G89*T89</f>
        <v>9.9</v>
      </c>
      <c r="T89" s="45">
        <v>1.1000000000000001</v>
      </c>
      <c r="U89" s="44">
        <f>I89*V89</f>
        <v>15.864690860541261</v>
      </c>
      <c r="V89" s="15">
        <f t="shared" si="9"/>
        <v>14.938503635161261</v>
      </c>
      <c r="W89" s="260">
        <f t="shared" si="10"/>
        <v>14.938503635161261</v>
      </c>
      <c r="X89" s="132">
        <f>20*106.5%</f>
        <v>21.299999999999997</v>
      </c>
    </row>
    <row r="90" spans="1:24" x14ac:dyDescent="0.25">
      <c r="A90" s="355"/>
      <c r="B90" s="104" t="s">
        <v>597</v>
      </c>
      <c r="C90" s="47">
        <v>13.143809401632003</v>
      </c>
      <c r="D90" s="47">
        <f t="shared" si="17"/>
        <v>13.908779108806986</v>
      </c>
      <c r="E90" s="47">
        <f t="shared" si="11"/>
        <v>13.908779108806986</v>
      </c>
      <c r="F90" s="47">
        <f t="shared" si="6"/>
        <v>15.18838678681723</v>
      </c>
      <c r="G90" s="44">
        <v>17</v>
      </c>
      <c r="H90" s="44">
        <f t="shared" si="12"/>
        <v>26.371190217834009</v>
      </c>
      <c r="I90" s="70">
        <v>1.0620000000000001</v>
      </c>
      <c r="J90" s="44">
        <f t="shared" si="8"/>
        <v>24.831629207000006</v>
      </c>
      <c r="K90" s="70">
        <v>1.0640000000000001</v>
      </c>
      <c r="L90" s="44">
        <f t="shared" si="0"/>
        <v>23.337997375000004</v>
      </c>
      <c r="M90" s="47">
        <v>1.07</v>
      </c>
      <c r="N90" s="44">
        <f>O90*P90</f>
        <v>21.811212500000003</v>
      </c>
      <c r="O90" s="70">
        <v>1.075</v>
      </c>
      <c r="P90" s="44">
        <f t="shared" si="1"/>
        <v>20.289500000000004</v>
      </c>
      <c r="Q90" s="70">
        <v>1.085</v>
      </c>
      <c r="R90" s="44">
        <f t="shared" si="18"/>
        <v>18.700000000000003</v>
      </c>
      <c r="S90" s="44">
        <f>G90*T90</f>
        <v>18.700000000000003</v>
      </c>
      <c r="T90" s="45">
        <v>1.1000000000000001</v>
      </c>
      <c r="U90" s="44">
        <f>I90*V90</f>
        <v>29.966638292133503</v>
      </c>
      <c r="V90" s="15">
        <f t="shared" si="9"/>
        <v>28.217173533082391</v>
      </c>
      <c r="W90" s="260">
        <f t="shared" si="10"/>
        <v>28.217173533082391</v>
      </c>
      <c r="X90" s="132">
        <f>34*106.5%</f>
        <v>36.21</v>
      </c>
    </row>
    <row r="91" spans="1:24" x14ac:dyDescent="0.25">
      <c r="A91" s="355"/>
      <c r="B91" s="128" t="s">
        <v>598</v>
      </c>
      <c r="C91" s="47">
        <v>20.323816767072007</v>
      </c>
      <c r="D91" s="47">
        <f t="shared" si="17"/>
        <v>21.506662902915597</v>
      </c>
      <c r="E91" s="47">
        <f t="shared" si="11"/>
        <v>21.506662902915597</v>
      </c>
      <c r="F91" s="47">
        <f t="shared" si="6"/>
        <v>23.485275889983832</v>
      </c>
      <c r="G91" s="44">
        <v>25</v>
      </c>
      <c r="H91" s="44">
        <f t="shared" si="12"/>
        <v>38.781162085050013</v>
      </c>
      <c r="I91" s="70">
        <v>1.0620000000000001</v>
      </c>
      <c r="J91" s="44">
        <f t="shared" si="8"/>
        <v>36.517101775000008</v>
      </c>
      <c r="K91" s="70">
        <v>1.0640000000000001</v>
      </c>
      <c r="L91" s="44">
        <f t="shared" si="0"/>
        <v>34.320584375000003</v>
      </c>
      <c r="M91" s="47">
        <v>1.07</v>
      </c>
      <c r="N91" s="44">
        <f>O91*P91</f>
        <v>32.075312500000003</v>
      </c>
      <c r="O91" s="70">
        <v>1.075</v>
      </c>
      <c r="P91" s="44">
        <f t="shared" si="1"/>
        <v>29.837500000000002</v>
      </c>
      <c r="Q91" s="70">
        <v>1.085</v>
      </c>
      <c r="R91" s="44">
        <f t="shared" si="18"/>
        <v>27.500000000000004</v>
      </c>
      <c r="S91" s="44">
        <f>G91*T91</f>
        <v>27.500000000000004</v>
      </c>
      <c r="T91" s="45">
        <v>1.1000000000000001</v>
      </c>
      <c r="U91" s="44">
        <f>I91*V91</f>
        <v>44.068585723725732</v>
      </c>
      <c r="V91" s="15">
        <f t="shared" si="9"/>
        <v>41.495843431003514</v>
      </c>
      <c r="W91" s="260">
        <f t="shared" si="10"/>
        <v>41.495843431003514</v>
      </c>
      <c r="X91" s="132">
        <f>53*106.5%</f>
        <v>56.445</v>
      </c>
    </row>
    <row r="92" spans="1:24" x14ac:dyDescent="0.25">
      <c r="A92" s="128" t="s">
        <v>202</v>
      </c>
      <c r="B92" s="345" t="s">
        <v>723</v>
      </c>
      <c r="C92" s="346"/>
      <c r="D92" s="346"/>
      <c r="E92" s="346"/>
      <c r="F92" s="346"/>
      <c r="G92" s="346"/>
      <c r="H92" s="346"/>
      <c r="I92" s="346"/>
      <c r="J92" s="347"/>
      <c r="K92" s="47"/>
      <c r="L92" s="44"/>
      <c r="M92" s="47"/>
      <c r="N92" s="44"/>
      <c r="O92" s="70"/>
      <c r="P92" s="44"/>
      <c r="Q92" s="70"/>
      <c r="R92" s="44"/>
      <c r="S92" s="44"/>
      <c r="T92" s="45"/>
      <c r="U92" s="44"/>
      <c r="V92" s="15"/>
      <c r="X92" s="85"/>
    </row>
    <row r="93" spans="1:24" x14ac:dyDescent="0.25">
      <c r="A93" s="128" t="s">
        <v>818</v>
      </c>
      <c r="B93" s="151" t="s">
        <v>819</v>
      </c>
      <c r="C93" s="151"/>
      <c r="D93" s="151"/>
      <c r="E93" s="151"/>
      <c r="F93" s="151"/>
      <c r="G93" s="151"/>
      <c r="H93" s="163" t="s">
        <v>820</v>
      </c>
      <c r="I93" s="282"/>
      <c r="J93" s="283"/>
      <c r="K93" s="47"/>
      <c r="L93" s="44"/>
      <c r="M93" s="47"/>
      <c r="N93" s="44"/>
      <c r="O93" s="70"/>
      <c r="P93" s="44"/>
      <c r="Q93" s="70"/>
      <c r="R93" s="44"/>
      <c r="S93" s="44"/>
      <c r="T93" s="45"/>
      <c r="U93" s="44"/>
      <c r="V93" s="15">
        <f t="shared" si="9"/>
        <v>535</v>
      </c>
      <c r="W93" s="260">
        <f t="shared" si="10"/>
        <v>535</v>
      </c>
      <c r="X93" s="132">
        <f>685*106.5%</f>
        <v>729.52499999999998</v>
      </c>
    </row>
    <row r="94" spans="1:24" x14ac:dyDescent="0.25">
      <c r="A94" s="367" t="s">
        <v>57</v>
      </c>
      <c r="B94" s="345" t="s">
        <v>668</v>
      </c>
      <c r="C94" s="346"/>
      <c r="D94" s="346"/>
      <c r="E94" s="346"/>
      <c r="F94" s="346"/>
      <c r="G94" s="346"/>
      <c r="H94" s="346"/>
      <c r="I94" s="346"/>
      <c r="J94" s="347"/>
      <c r="K94" s="47"/>
      <c r="L94" s="44"/>
      <c r="M94" s="47"/>
      <c r="N94" s="44"/>
      <c r="O94" s="70"/>
      <c r="P94" s="44"/>
      <c r="Q94" s="70"/>
      <c r="R94" s="44"/>
      <c r="S94" s="44"/>
      <c r="T94" s="45"/>
      <c r="U94" s="44"/>
      <c r="V94" s="15"/>
      <c r="X94" s="132"/>
    </row>
    <row r="95" spans="1:24" s="17" customFormat="1" x14ac:dyDescent="0.25">
      <c r="A95" s="355"/>
      <c r="B95" s="59" t="s">
        <v>728</v>
      </c>
      <c r="C95" s="51"/>
      <c r="D95" s="52"/>
      <c r="E95" s="52"/>
      <c r="F95" s="52"/>
      <c r="G95" s="53">
        <v>129</v>
      </c>
      <c r="H95" s="53">
        <f>J95*I95</f>
        <v>200.11079635885804</v>
      </c>
      <c r="I95" s="70">
        <v>1.0620000000000001</v>
      </c>
      <c r="J95" s="44">
        <f>K95*L95</f>
        <v>188.42824515900003</v>
      </c>
      <c r="K95" s="70">
        <v>1.0640000000000001</v>
      </c>
      <c r="L95" s="44">
        <f t="shared" ref="L95:L152" si="19">M95*N95</f>
        <v>177.094215375</v>
      </c>
      <c r="M95" s="47">
        <v>1.07</v>
      </c>
      <c r="N95" s="44">
        <f>O95*P95</f>
        <v>165.5086125</v>
      </c>
      <c r="O95" s="70">
        <v>1.075</v>
      </c>
      <c r="P95" s="44">
        <f t="shared" ref="P95:P165" si="20">Q95*R95</f>
        <v>153.9615</v>
      </c>
      <c r="Q95" s="70">
        <v>1.085</v>
      </c>
      <c r="R95" s="44">
        <f>S95</f>
        <v>141.9</v>
      </c>
      <c r="S95" s="44">
        <f t="shared" ref="S95:U99" si="21">G95*T95</f>
        <v>141.9</v>
      </c>
      <c r="T95" s="50">
        <v>1.1000000000000001</v>
      </c>
      <c r="U95" s="44">
        <f t="shared" si="21"/>
        <v>227.39390233442478</v>
      </c>
      <c r="V95" s="15">
        <f t="shared" si="9"/>
        <v>214.11855210397812</v>
      </c>
      <c r="W95" s="260">
        <f t="shared" si="10"/>
        <v>214.11855210397812</v>
      </c>
      <c r="X95" s="132">
        <f>274*106.5%</f>
        <v>291.81</v>
      </c>
    </row>
    <row r="96" spans="1:24" s="17" customFormat="1" x14ac:dyDescent="0.25">
      <c r="A96" s="355"/>
      <c r="B96" s="59" t="s">
        <v>729</v>
      </c>
      <c r="C96" s="51">
        <v>191</v>
      </c>
      <c r="D96" s="52">
        <v>202.11619999999999</v>
      </c>
      <c r="E96" s="52">
        <f>ROUND(D96,0)</f>
        <v>202</v>
      </c>
      <c r="F96" s="52">
        <f t="shared" si="6"/>
        <v>220.584</v>
      </c>
      <c r="G96" s="53">
        <v>243</v>
      </c>
      <c r="H96" s="53">
        <f>J96*I96</f>
        <v>376.95289546668602</v>
      </c>
      <c r="I96" s="70">
        <v>1.0620000000000001</v>
      </c>
      <c r="J96" s="44">
        <f>K96*L96</f>
        <v>354.94622925300001</v>
      </c>
      <c r="K96" s="70">
        <v>1.0640000000000001</v>
      </c>
      <c r="L96" s="44">
        <f t="shared" si="19"/>
        <v>333.59608012500001</v>
      </c>
      <c r="M96" s="47">
        <v>1.07</v>
      </c>
      <c r="N96" s="44">
        <f>O96*P96</f>
        <v>311.77203750000001</v>
      </c>
      <c r="O96" s="70">
        <v>1.075</v>
      </c>
      <c r="P96" s="44">
        <f t="shared" si="20"/>
        <v>290.02050000000003</v>
      </c>
      <c r="Q96" s="70">
        <v>1.085</v>
      </c>
      <c r="R96" s="44">
        <f>S96</f>
        <v>267.3</v>
      </c>
      <c r="S96" s="44">
        <f t="shared" si="21"/>
        <v>267.3</v>
      </c>
      <c r="T96" s="50">
        <v>1.1000000000000001</v>
      </c>
      <c r="U96" s="44">
        <f t="shared" si="21"/>
        <v>428.34665323461405</v>
      </c>
      <c r="V96" s="15">
        <f t="shared" si="9"/>
        <v>403.33959814935406</v>
      </c>
      <c r="W96" s="260">
        <f t="shared" si="10"/>
        <v>403.33959814935406</v>
      </c>
      <c r="X96" s="132">
        <f>517*106.5%</f>
        <v>550.60500000000002</v>
      </c>
    </row>
    <row r="97" spans="1:24" s="17" customFormat="1" x14ac:dyDescent="0.25">
      <c r="A97" s="355"/>
      <c r="B97" s="59" t="s">
        <v>730</v>
      </c>
      <c r="C97" s="51">
        <v>587</v>
      </c>
      <c r="D97" s="52">
        <v>621.16340000000002</v>
      </c>
      <c r="E97" s="52">
        <f>ROUND(D97,0)</f>
        <v>621</v>
      </c>
      <c r="F97" s="52">
        <f t="shared" si="6"/>
        <v>678.13200000000006</v>
      </c>
      <c r="G97" s="53">
        <v>746</v>
      </c>
      <c r="H97" s="53">
        <f>J97*I97</f>
        <v>1157.7939662482199</v>
      </c>
      <c r="I97" s="70">
        <v>1.0620000000000001</v>
      </c>
      <c r="J97" s="44">
        <f>K97*L97</f>
        <v>1090.2014748099998</v>
      </c>
      <c r="K97" s="70">
        <v>1.0640000000000001</v>
      </c>
      <c r="L97" s="44">
        <f t="shared" si="19"/>
        <v>1024.6254462499999</v>
      </c>
      <c r="M97" s="47">
        <v>1.07</v>
      </c>
      <c r="N97" s="44">
        <f>O97*P97</f>
        <v>957.59387499999991</v>
      </c>
      <c r="O97" s="70">
        <v>1.075</v>
      </c>
      <c r="P97" s="44">
        <f t="shared" si="20"/>
        <v>890.78499999999997</v>
      </c>
      <c r="Q97" s="70">
        <v>1.085</v>
      </c>
      <c r="R97" s="44">
        <v>821</v>
      </c>
      <c r="S97" s="53">
        <f t="shared" si="21"/>
        <v>820.6</v>
      </c>
      <c r="T97" s="50">
        <v>1.1000000000000001</v>
      </c>
      <c r="U97" s="53">
        <f t="shared" si="21"/>
        <v>1315.6475956065026</v>
      </c>
      <c r="V97" s="15">
        <f t="shared" si="9"/>
        <v>1238.8395438855955</v>
      </c>
      <c r="W97" s="260">
        <f t="shared" si="10"/>
        <v>1238.8395438855955</v>
      </c>
      <c r="X97" s="132">
        <f>1589*106.5%</f>
        <v>1692.2849999999999</v>
      </c>
    </row>
    <row r="98" spans="1:24" s="17" customFormat="1" x14ac:dyDescent="0.25">
      <c r="A98" s="355"/>
      <c r="B98" s="59" t="s">
        <v>731</v>
      </c>
      <c r="C98" s="51">
        <v>1016</v>
      </c>
      <c r="D98" s="52">
        <v>1075.1312</v>
      </c>
      <c r="E98" s="52">
        <f>ROUND(D98,0)</f>
        <v>1075</v>
      </c>
      <c r="F98" s="52">
        <f t="shared" si="6"/>
        <v>1173.9000000000001</v>
      </c>
      <c r="G98" s="53">
        <v>1291</v>
      </c>
      <c r="H98" s="53">
        <f>J98*I98</f>
        <v>2002.6592100719827</v>
      </c>
      <c r="I98" s="70">
        <v>1.0620000000000001</v>
      </c>
      <c r="J98" s="44">
        <f>K98*L98</f>
        <v>1885.7431356610005</v>
      </c>
      <c r="K98" s="70">
        <v>1.0640000000000001</v>
      </c>
      <c r="L98" s="44">
        <f t="shared" si="19"/>
        <v>1772.3149771250003</v>
      </c>
      <c r="M98" s="47">
        <v>1.07</v>
      </c>
      <c r="N98" s="44">
        <f>O98*P98</f>
        <v>1656.3691375000001</v>
      </c>
      <c r="O98" s="70">
        <v>1.075</v>
      </c>
      <c r="P98" s="44">
        <f t="shared" si="20"/>
        <v>1540.8085000000001</v>
      </c>
      <c r="Q98" s="70">
        <v>1.085</v>
      </c>
      <c r="R98" s="44">
        <f>S98</f>
        <v>1420.1000000000001</v>
      </c>
      <c r="S98" s="44">
        <f t="shared" si="21"/>
        <v>1420.1000000000001</v>
      </c>
      <c r="T98" s="50">
        <v>1.1000000000000001</v>
      </c>
      <c r="U98" s="44">
        <f t="shared" si="21"/>
        <v>2275.7017667731971</v>
      </c>
      <c r="V98" s="15">
        <f t="shared" si="9"/>
        <v>2142.8453547770214</v>
      </c>
      <c r="W98" s="260">
        <f t="shared" si="10"/>
        <v>2142.8453547770214</v>
      </c>
      <c r="X98" s="132">
        <f>2748*106.5%</f>
        <v>2926.62</v>
      </c>
    </row>
    <row r="99" spans="1:24" s="17" customFormat="1" ht="30" x14ac:dyDescent="0.25">
      <c r="A99" s="355"/>
      <c r="B99" s="292" t="s">
        <v>806</v>
      </c>
      <c r="C99" s="51"/>
      <c r="D99" s="52"/>
      <c r="E99" s="52"/>
      <c r="F99" s="52"/>
      <c r="G99" s="53">
        <v>129</v>
      </c>
      <c r="H99" s="198">
        <f>J99*I99</f>
        <v>200.11079635885804</v>
      </c>
      <c r="I99" s="70">
        <v>1.0620000000000001</v>
      </c>
      <c r="J99" s="44">
        <f>K99*L99</f>
        <v>188.42824515900003</v>
      </c>
      <c r="K99" s="70">
        <v>1.0640000000000001</v>
      </c>
      <c r="L99" s="44">
        <f t="shared" si="19"/>
        <v>177.094215375</v>
      </c>
      <c r="M99" s="47">
        <v>1.07</v>
      </c>
      <c r="N99" s="44">
        <f t="shared" ref="N99:N106" si="22">O99*P99</f>
        <v>165.5086125</v>
      </c>
      <c r="O99" s="70">
        <v>1.075</v>
      </c>
      <c r="P99" s="44">
        <f t="shared" si="20"/>
        <v>153.9615</v>
      </c>
      <c r="Q99" s="70">
        <v>1.085</v>
      </c>
      <c r="R99" s="44">
        <f>S99</f>
        <v>141.9</v>
      </c>
      <c r="S99" s="44">
        <f t="shared" si="21"/>
        <v>141.9</v>
      </c>
      <c r="T99" s="50">
        <v>1.1000000000000001</v>
      </c>
      <c r="U99" s="44">
        <f t="shared" si="21"/>
        <v>227.39390233442478</v>
      </c>
      <c r="V99" s="15">
        <f t="shared" si="9"/>
        <v>214.11855210397812</v>
      </c>
      <c r="W99" s="260">
        <f t="shared" si="10"/>
        <v>214.11855210397812</v>
      </c>
      <c r="X99" s="132">
        <f>274*106.5%</f>
        <v>291.81</v>
      </c>
    </row>
    <row r="100" spans="1:24" x14ac:dyDescent="0.25">
      <c r="A100" s="362" t="s">
        <v>58</v>
      </c>
      <c r="B100" s="345" t="s">
        <v>732</v>
      </c>
      <c r="C100" s="346"/>
      <c r="D100" s="346"/>
      <c r="E100" s="346"/>
      <c r="F100" s="346"/>
      <c r="G100" s="346"/>
      <c r="H100" s="346"/>
      <c r="I100" s="346"/>
      <c r="J100" s="347"/>
      <c r="K100" s="70"/>
      <c r="L100" s="44"/>
      <c r="M100" s="47">
        <v>1.07</v>
      </c>
      <c r="N100" s="44">
        <f t="shared" si="22"/>
        <v>0</v>
      </c>
      <c r="O100" s="70"/>
      <c r="P100" s="44"/>
      <c r="Q100" s="70"/>
      <c r="R100" s="44"/>
      <c r="S100" s="44"/>
      <c r="T100" s="50"/>
      <c r="U100" s="44"/>
      <c r="V100" s="15"/>
      <c r="X100" s="132"/>
    </row>
    <row r="101" spans="1:24" s="17" customFormat="1" x14ac:dyDescent="0.25">
      <c r="A101" s="363"/>
      <c r="B101" s="59" t="s">
        <v>728</v>
      </c>
      <c r="C101" s="51"/>
      <c r="D101" s="52"/>
      <c r="E101" s="52"/>
      <c r="F101" s="52"/>
      <c r="G101" s="53">
        <v>135</v>
      </c>
      <c r="H101" s="53">
        <f>J101*I101</f>
        <v>209.41827525927002</v>
      </c>
      <c r="I101" s="70">
        <v>1.0620000000000001</v>
      </c>
      <c r="J101" s="44">
        <f>K101*L101</f>
        <v>197.19234958500002</v>
      </c>
      <c r="K101" s="70">
        <v>1.0640000000000001</v>
      </c>
      <c r="L101" s="44">
        <f t="shared" si="19"/>
        <v>185.33115562500001</v>
      </c>
      <c r="M101" s="47">
        <v>1.07</v>
      </c>
      <c r="N101" s="44">
        <f t="shared" si="22"/>
        <v>173.20668749999999</v>
      </c>
      <c r="O101" s="70">
        <v>1.075</v>
      </c>
      <c r="P101" s="44">
        <f t="shared" si="20"/>
        <v>161.1225</v>
      </c>
      <c r="Q101" s="70">
        <v>1.085</v>
      </c>
      <c r="R101" s="44">
        <f>S101</f>
        <v>148.5</v>
      </c>
      <c r="S101" s="44">
        <f>G101*T101</f>
        <v>148.5</v>
      </c>
      <c r="T101" s="50">
        <v>1.1000000000000001</v>
      </c>
      <c r="U101" s="44">
        <f>I101*V101</f>
        <v>237.97036290811891</v>
      </c>
      <c r="V101" s="15">
        <f t="shared" si="9"/>
        <v>224.07755452741893</v>
      </c>
      <c r="W101" s="260">
        <f t="shared" si="10"/>
        <v>224.07755452741893</v>
      </c>
      <c r="X101" s="132">
        <f>288*106.5%</f>
        <v>306.71999999999997</v>
      </c>
    </row>
    <row r="102" spans="1:24" s="17" customFormat="1" x14ac:dyDescent="0.25">
      <c r="A102" s="363"/>
      <c r="B102" s="59" t="s">
        <v>730</v>
      </c>
      <c r="C102" s="51">
        <v>306</v>
      </c>
      <c r="D102" s="52">
        <v>323.80920000000003</v>
      </c>
      <c r="E102" s="52">
        <f>ROUND(D102,0)</f>
        <v>324</v>
      </c>
      <c r="F102" s="52">
        <f t="shared" si="6"/>
        <v>353.80800000000005</v>
      </c>
      <c r="G102" s="53">
        <v>390</v>
      </c>
      <c r="H102" s="53">
        <f>J102*I102</f>
        <v>604.98612852678013</v>
      </c>
      <c r="I102" s="70">
        <v>1.0620000000000001</v>
      </c>
      <c r="J102" s="44">
        <f>K102*L102</f>
        <v>569.66678769000009</v>
      </c>
      <c r="K102" s="70">
        <v>1.0640000000000001</v>
      </c>
      <c r="L102" s="44">
        <f t="shared" si="19"/>
        <v>535.40111625000009</v>
      </c>
      <c r="M102" s="47">
        <v>1.07</v>
      </c>
      <c r="N102" s="44">
        <f t="shared" si="22"/>
        <v>500.37487500000003</v>
      </c>
      <c r="O102" s="70">
        <v>1.075</v>
      </c>
      <c r="P102" s="44">
        <f t="shared" si="20"/>
        <v>465.46500000000003</v>
      </c>
      <c r="Q102" s="70">
        <v>1.085</v>
      </c>
      <c r="R102" s="44">
        <f>S102</f>
        <v>429.00000000000006</v>
      </c>
      <c r="S102" s="44">
        <f>G102*T102</f>
        <v>429.00000000000006</v>
      </c>
      <c r="T102" s="50">
        <v>1.1000000000000001</v>
      </c>
      <c r="U102" s="44">
        <f>I102*V102</f>
        <v>687.46993729012138</v>
      </c>
      <c r="V102" s="15">
        <f t="shared" si="9"/>
        <v>647.33515752365474</v>
      </c>
      <c r="W102" s="260">
        <f t="shared" si="10"/>
        <v>647.33515752365474</v>
      </c>
      <c r="X102" s="132">
        <f>830*106.5%</f>
        <v>883.94999999999993</v>
      </c>
    </row>
    <row r="103" spans="1:24" s="17" customFormat="1" x14ac:dyDescent="0.25">
      <c r="A103" s="363"/>
      <c r="B103" s="59" t="s">
        <v>731</v>
      </c>
      <c r="C103" s="51">
        <v>619</v>
      </c>
      <c r="D103" s="52">
        <v>655.0258</v>
      </c>
      <c r="E103" s="52">
        <f>ROUND(D103,0)</f>
        <v>655</v>
      </c>
      <c r="F103" s="52">
        <f t="shared" si="6"/>
        <v>715.2600000000001</v>
      </c>
      <c r="G103" s="53">
        <v>787</v>
      </c>
      <c r="H103" s="53">
        <f>J103*I103</f>
        <v>1220.8309824373739</v>
      </c>
      <c r="I103" s="70">
        <v>1.0620000000000001</v>
      </c>
      <c r="J103" s="44">
        <f>K103*L103</f>
        <v>1149.5583638769999</v>
      </c>
      <c r="K103" s="70">
        <v>1.0640000000000001</v>
      </c>
      <c r="L103" s="44">
        <f t="shared" si="19"/>
        <v>1080.4119961249999</v>
      </c>
      <c r="M103" s="47">
        <v>1.07</v>
      </c>
      <c r="N103" s="44">
        <f t="shared" si="22"/>
        <v>1009.7308374999999</v>
      </c>
      <c r="O103" s="70">
        <v>1.075</v>
      </c>
      <c r="P103" s="44">
        <f t="shared" si="20"/>
        <v>939.28449999999998</v>
      </c>
      <c r="Q103" s="70">
        <v>1.085</v>
      </c>
      <c r="R103" s="44">
        <f>S103</f>
        <v>865.7</v>
      </c>
      <c r="S103" s="44">
        <f>G103*T103</f>
        <v>865.7</v>
      </c>
      <c r="T103" s="50">
        <v>1.1000000000000001</v>
      </c>
      <c r="U103" s="44">
        <f>I103*V103</f>
        <v>1387.2790785828856</v>
      </c>
      <c r="V103" s="15">
        <f t="shared" si="9"/>
        <v>1306.2891512079902</v>
      </c>
      <c r="W103" s="260">
        <f t="shared" si="10"/>
        <v>1306.2891512079902</v>
      </c>
      <c r="X103" s="132">
        <f>1675*106.5%</f>
        <v>1783.875</v>
      </c>
    </row>
    <row r="104" spans="1:24" s="31" customFormat="1" x14ac:dyDescent="0.25">
      <c r="A104" s="362" t="s">
        <v>59</v>
      </c>
      <c r="B104" s="345" t="s">
        <v>112</v>
      </c>
      <c r="C104" s="346"/>
      <c r="D104" s="346"/>
      <c r="E104" s="346"/>
      <c r="F104" s="346"/>
      <c r="G104" s="346"/>
      <c r="H104" s="346"/>
      <c r="I104" s="346"/>
      <c r="J104" s="347"/>
      <c r="K104" s="70"/>
      <c r="L104" s="44"/>
      <c r="M104" s="47"/>
      <c r="N104" s="44"/>
      <c r="O104" s="70"/>
      <c r="P104" s="44"/>
      <c r="Q104" s="70"/>
      <c r="R104" s="44"/>
      <c r="S104" s="284"/>
      <c r="T104" s="77"/>
      <c r="U104" s="284"/>
      <c r="V104" s="32"/>
      <c r="X104" s="132"/>
    </row>
    <row r="105" spans="1:24" s="31" customFormat="1" x14ac:dyDescent="0.25">
      <c r="A105" s="363"/>
      <c r="B105" s="33" t="s">
        <v>728</v>
      </c>
      <c r="C105" s="46"/>
      <c r="D105" s="47"/>
      <c r="E105" s="47"/>
      <c r="F105" s="47"/>
      <c r="G105" s="44">
        <v>220</v>
      </c>
      <c r="H105" s="44">
        <f>J105*I105</f>
        <v>341.2742263484401</v>
      </c>
      <c r="I105" s="70">
        <v>1.0620000000000001</v>
      </c>
      <c r="J105" s="44">
        <f>K105*L105</f>
        <v>321.35049562000006</v>
      </c>
      <c r="K105" s="70">
        <v>1.0640000000000001</v>
      </c>
      <c r="L105" s="44">
        <f t="shared" si="19"/>
        <v>302.02114250000005</v>
      </c>
      <c r="M105" s="47">
        <v>1.07</v>
      </c>
      <c r="N105" s="44">
        <f t="shared" si="22"/>
        <v>282.26275000000004</v>
      </c>
      <c r="O105" s="70">
        <v>1.075</v>
      </c>
      <c r="P105" s="44">
        <f t="shared" si="20"/>
        <v>262.57000000000005</v>
      </c>
      <c r="Q105" s="70">
        <v>1.085</v>
      </c>
      <c r="R105" s="44">
        <f>S105</f>
        <v>242.00000000000003</v>
      </c>
      <c r="S105" s="44">
        <f>G105*T105</f>
        <v>242.00000000000003</v>
      </c>
      <c r="T105" s="45">
        <v>1.1000000000000001</v>
      </c>
      <c r="U105" s="44">
        <f>I105*V105</f>
        <v>387.80355436878648</v>
      </c>
      <c r="V105" s="15">
        <f t="shared" si="9"/>
        <v>365.16342219283092</v>
      </c>
      <c r="W105" s="260">
        <f t="shared" si="10"/>
        <v>365.16342219283092</v>
      </c>
      <c r="X105" s="132">
        <f>468*106.5%</f>
        <v>498.41999999999996</v>
      </c>
    </row>
    <row r="106" spans="1:24" s="31" customFormat="1" x14ac:dyDescent="0.25">
      <c r="A106" s="363"/>
      <c r="B106" s="33" t="s">
        <v>730</v>
      </c>
      <c r="C106" s="46"/>
      <c r="D106" s="47"/>
      <c r="E106" s="47"/>
      <c r="F106" s="47"/>
      <c r="G106" s="44">
        <v>450</v>
      </c>
      <c r="H106" s="44">
        <f>J106*I106</f>
        <v>698.06091753090016</v>
      </c>
      <c r="I106" s="70">
        <v>1.0620000000000001</v>
      </c>
      <c r="J106" s="44">
        <f>K106*L106</f>
        <v>657.30783195000015</v>
      </c>
      <c r="K106" s="70">
        <v>1.0640000000000001</v>
      </c>
      <c r="L106" s="44">
        <f t="shared" si="19"/>
        <v>617.77051875000006</v>
      </c>
      <c r="M106" s="47">
        <v>1.07</v>
      </c>
      <c r="N106" s="44">
        <f t="shared" si="22"/>
        <v>577.35562500000003</v>
      </c>
      <c r="O106" s="70">
        <v>1.075</v>
      </c>
      <c r="P106" s="44">
        <f t="shared" si="20"/>
        <v>537.07500000000005</v>
      </c>
      <c r="Q106" s="70">
        <v>1.085</v>
      </c>
      <c r="R106" s="44">
        <f>S106</f>
        <v>495.00000000000006</v>
      </c>
      <c r="S106" s="44">
        <f>G106*T106</f>
        <v>495.00000000000006</v>
      </c>
      <c r="T106" s="45">
        <v>1.1000000000000001</v>
      </c>
      <c r="U106" s="44">
        <f>I106*V106</f>
        <v>793.23454302706318</v>
      </c>
      <c r="V106" s="15">
        <f t="shared" si="9"/>
        <v>746.92518175806322</v>
      </c>
      <c r="W106" s="260">
        <f t="shared" si="10"/>
        <v>746.92518175806322</v>
      </c>
      <c r="X106" s="132">
        <f>957*106.5%</f>
        <v>1019.2049999999999</v>
      </c>
    </row>
    <row r="107" spans="1:24" s="31" customFormat="1" x14ac:dyDescent="0.25">
      <c r="A107" s="363"/>
      <c r="B107" s="33" t="s">
        <v>731</v>
      </c>
      <c r="C107" s="46"/>
      <c r="D107" s="47"/>
      <c r="E107" s="47"/>
      <c r="F107" s="47"/>
      <c r="G107" s="44">
        <v>980</v>
      </c>
      <c r="H107" s="44">
        <f>J107*I107</f>
        <v>1520.2215537339603</v>
      </c>
      <c r="I107" s="70">
        <v>1.0620000000000001</v>
      </c>
      <c r="J107" s="44">
        <f>K107*L107</f>
        <v>1431.4703895800001</v>
      </c>
      <c r="K107" s="70">
        <v>1.0640000000000001</v>
      </c>
      <c r="L107" s="44">
        <f t="shared" si="19"/>
        <v>1345.3669075</v>
      </c>
      <c r="M107" s="47">
        <v>1.07</v>
      </c>
      <c r="N107" s="44">
        <f>O107*P107</f>
        <v>1257.3522499999999</v>
      </c>
      <c r="O107" s="70">
        <v>1.075</v>
      </c>
      <c r="P107" s="44">
        <f t="shared" si="20"/>
        <v>1169.6299999999999</v>
      </c>
      <c r="Q107" s="70">
        <v>1.085</v>
      </c>
      <c r="R107" s="44">
        <f>S107</f>
        <v>1078</v>
      </c>
      <c r="S107" s="44">
        <f>G107*T107</f>
        <v>1078</v>
      </c>
      <c r="T107" s="45">
        <v>1.1000000000000001</v>
      </c>
      <c r="U107" s="44">
        <f>I107*V107</f>
        <v>1727.4885603700486</v>
      </c>
      <c r="V107" s="15">
        <f t="shared" si="9"/>
        <v>1626.6370624953377</v>
      </c>
      <c r="W107" s="260">
        <f t="shared" si="10"/>
        <v>1626.6370624953377</v>
      </c>
      <c r="X107" s="132">
        <f>2086*106.5%</f>
        <v>2221.5899999999997</v>
      </c>
    </row>
    <row r="108" spans="1:24" s="31" customFormat="1" x14ac:dyDescent="0.25">
      <c r="A108" s="209" t="s">
        <v>60</v>
      </c>
      <c r="B108" s="208" t="s">
        <v>653</v>
      </c>
      <c r="C108" s="248"/>
      <c r="D108" s="210"/>
      <c r="E108" s="210"/>
      <c r="F108" s="210"/>
      <c r="G108" s="211"/>
      <c r="H108" s="211"/>
      <c r="I108" s="212"/>
      <c r="J108" s="211"/>
      <c r="K108" s="212"/>
      <c r="L108" s="211"/>
      <c r="M108" s="210"/>
      <c r="N108" s="211"/>
      <c r="O108" s="212"/>
      <c r="P108" s="211"/>
      <c r="Q108" s="212"/>
      <c r="R108" s="211"/>
      <c r="S108" s="211"/>
      <c r="T108" s="249"/>
      <c r="U108" s="211"/>
      <c r="V108" s="15"/>
      <c r="W108" s="261"/>
      <c r="X108" s="132">
        <f>2901*106.5%</f>
        <v>3089.5650000000001</v>
      </c>
    </row>
    <row r="109" spans="1:24" s="31" customFormat="1" x14ac:dyDescent="0.25">
      <c r="A109" s="209" t="s">
        <v>953</v>
      </c>
      <c r="B109" s="208" t="s">
        <v>954</v>
      </c>
      <c r="C109" s="248"/>
      <c r="D109" s="210"/>
      <c r="E109" s="210"/>
      <c r="F109" s="210"/>
      <c r="G109" s="211"/>
      <c r="H109" s="211"/>
      <c r="I109" s="212"/>
      <c r="J109" s="211"/>
      <c r="K109" s="212"/>
      <c r="L109" s="211"/>
      <c r="M109" s="210"/>
      <c r="N109" s="211"/>
      <c r="O109" s="212"/>
      <c r="P109" s="211"/>
      <c r="Q109" s="212"/>
      <c r="R109" s="211"/>
      <c r="S109" s="211"/>
      <c r="T109" s="249"/>
      <c r="U109" s="211"/>
      <c r="V109" s="15"/>
      <c r="W109" s="261"/>
      <c r="X109" s="132">
        <f>5803*106.5%</f>
        <v>6180.1949999999997</v>
      </c>
    </row>
    <row r="110" spans="1:24" s="31" customFormat="1" x14ac:dyDescent="0.25">
      <c r="A110" s="209" t="s">
        <v>955</v>
      </c>
      <c r="B110" s="208" t="s">
        <v>956</v>
      </c>
      <c r="C110" s="248"/>
      <c r="D110" s="210"/>
      <c r="E110" s="210"/>
      <c r="F110" s="210"/>
      <c r="G110" s="211"/>
      <c r="H110" s="211"/>
      <c r="I110" s="212"/>
      <c r="J110" s="211"/>
      <c r="K110" s="212"/>
      <c r="L110" s="211"/>
      <c r="M110" s="210"/>
      <c r="N110" s="211"/>
      <c r="O110" s="212"/>
      <c r="P110" s="211"/>
      <c r="Q110" s="212"/>
      <c r="R110" s="211"/>
      <c r="S110" s="211"/>
      <c r="T110" s="249"/>
      <c r="U110" s="211"/>
      <c r="V110" s="15"/>
      <c r="W110" s="261"/>
      <c r="X110" s="132">
        <f>3190*106.5%</f>
        <v>3397.35</v>
      </c>
    </row>
    <row r="111" spans="1:24" s="31" customFormat="1" x14ac:dyDescent="0.25">
      <c r="A111" s="209" t="s">
        <v>957</v>
      </c>
      <c r="B111" s="208" t="s">
        <v>958</v>
      </c>
      <c r="C111" s="248"/>
      <c r="D111" s="210"/>
      <c r="E111" s="210"/>
      <c r="F111" s="210"/>
      <c r="G111" s="211"/>
      <c r="H111" s="211"/>
      <c r="I111" s="212"/>
      <c r="J111" s="211"/>
      <c r="K111" s="212"/>
      <c r="L111" s="211"/>
      <c r="M111" s="210"/>
      <c r="N111" s="211"/>
      <c r="O111" s="212"/>
      <c r="P111" s="211"/>
      <c r="Q111" s="212"/>
      <c r="R111" s="211"/>
      <c r="S111" s="211"/>
      <c r="T111" s="249"/>
      <c r="U111" s="211"/>
      <c r="V111" s="15"/>
      <c r="W111" s="261"/>
      <c r="X111" s="132">
        <f>6092*106.5%</f>
        <v>6487.98</v>
      </c>
    </row>
    <row r="112" spans="1:24" s="31" customFormat="1" x14ac:dyDescent="0.25">
      <c r="A112" s="362" t="s">
        <v>61</v>
      </c>
      <c r="B112" s="344" t="s">
        <v>438</v>
      </c>
      <c r="C112" s="344"/>
      <c r="D112" s="344"/>
      <c r="E112" s="344"/>
      <c r="F112" s="344"/>
      <c r="G112" s="344"/>
      <c r="H112" s="344"/>
      <c r="I112" s="344"/>
      <c r="J112" s="344"/>
      <c r="K112" s="70"/>
      <c r="L112" s="44"/>
      <c r="M112" s="47"/>
      <c r="N112" s="44"/>
      <c r="O112" s="70"/>
      <c r="P112" s="44"/>
      <c r="Q112" s="70"/>
      <c r="R112" s="44"/>
      <c r="S112" s="44"/>
      <c r="T112" s="45"/>
      <c r="U112" s="44"/>
      <c r="V112" s="252"/>
      <c r="W112" s="262"/>
      <c r="X112" s="132"/>
    </row>
    <row r="113" spans="1:24" x14ac:dyDescent="0.25">
      <c r="A113" s="363"/>
      <c r="B113" s="33" t="s">
        <v>684</v>
      </c>
      <c r="C113" s="46">
        <v>818</v>
      </c>
      <c r="D113" s="47">
        <v>865.60760000000005</v>
      </c>
      <c r="E113" s="47">
        <f t="shared" ref="E113:E122" si="23">ROUND(D113,0)</f>
        <v>866</v>
      </c>
      <c r="F113" s="47">
        <f t="shared" si="6"/>
        <v>945.67200000000003</v>
      </c>
      <c r="G113" s="44">
        <v>1041</v>
      </c>
      <c r="H113" s="44">
        <f>J113*I113</f>
        <v>1614.8475892214824</v>
      </c>
      <c r="I113" s="70">
        <v>1.0620000000000001</v>
      </c>
      <c r="J113" s="44">
        <f>K113*L113</f>
        <v>1520.5721179110003</v>
      </c>
      <c r="K113" s="70">
        <v>1.0640000000000001</v>
      </c>
      <c r="L113" s="44">
        <f t="shared" si="19"/>
        <v>1429.1091333750003</v>
      </c>
      <c r="M113" s="47">
        <v>1.07</v>
      </c>
      <c r="N113" s="44">
        <f t="shared" ref="N113:N122" si="24">O113*P113</f>
        <v>1335.6160125000001</v>
      </c>
      <c r="O113" s="70">
        <v>1.075</v>
      </c>
      <c r="P113" s="44">
        <f t="shared" si="20"/>
        <v>1242.4335000000001</v>
      </c>
      <c r="Q113" s="70">
        <v>1.085</v>
      </c>
      <c r="R113" s="44">
        <f>S113</f>
        <v>1145.1000000000001</v>
      </c>
      <c r="S113" s="44">
        <f>G113*T113</f>
        <v>1145.1000000000001</v>
      </c>
      <c r="T113" s="50">
        <v>1.1000000000000001</v>
      </c>
      <c r="U113" s="44">
        <f>I113*V113</f>
        <v>1835.0159095359395</v>
      </c>
      <c r="V113" s="241">
        <f t="shared" si="9"/>
        <v>1727.8869204669863</v>
      </c>
      <c r="W113" s="260">
        <f t="shared" si="10"/>
        <v>1727.8869204669863</v>
      </c>
      <c r="X113" s="132">
        <f>2216*106.5%</f>
        <v>2360.04</v>
      </c>
    </row>
    <row r="114" spans="1:24" x14ac:dyDescent="0.25">
      <c r="A114" s="363"/>
      <c r="B114" s="33" t="s">
        <v>685</v>
      </c>
      <c r="C114" s="46">
        <v>73.099999999999994</v>
      </c>
      <c r="D114" s="47">
        <v>77.35441999999999</v>
      </c>
      <c r="E114" s="47">
        <f t="shared" si="23"/>
        <v>77</v>
      </c>
      <c r="F114" s="47">
        <f>E114*1.092</f>
        <v>84.084000000000003</v>
      </c>
      <c r="G114" s="44">
        <v>93</v>
      </c>
      <c r="H114" s="44">
        <f>J114*I114</f>
        <v>144.26592295638602</v>
      </c>
      <c r="I114" s="70">
        <v>1.0620000000000001</v>
      </c>
      <c r="J114" s="44">
        <f>K114*L114</f>
        <v>135.84361860300001</v>
      </c>
      <c r="K114" s="70">
        <v>1.0640000000000001</v>
      </c>
      <c r="L114" s="44">
        <f t="shared" si="19"/>
        <v>127.67257387500001</v>
      </c>
      <c r="M114" s="47">
        <v>1.07</v>
      </c>
      <c r="N114" s="44">
        <f t="shared" si="24"/>
        <v>119.32016250000001</v>
      </c>
      <c r="O114" s="70">
        <v>1.075</v>
      </c>
      <c r="P114" s="44">
        <f t="shared" si="20"/>
        <v>110.99550000000001</v>
      </c>
      <c r="Q114" s="70">
        <v>1.085</v>
      </c>
      <c r="R114" s="44">
        <f>S114</f>
        <v>102.30000000000001</v>
      </c>
      <c r="S114" s="44">
        <f>G114*T114</f>
        <v>102.30000000000001</v>
      </c>
      <c r="T114" s="50">
        <v>1.1000000000000001</v>
      </c>
      <c r="U114" s="44">
        <f>I114*V114</f>
        <v>163.93513889225972</v>
      </c>
      <c r="V114" s="241">
        <f t="shared" si="9"/>
        <v>154.36453756333304</v>
      </c>
      <c r="W114" s="260">
        <f t="shared" si="10"/>
        <v>154.36453756333304</v>
      </c>
      <c r="X114" s="132">
        <f>198*106.5%</f>
        <v>210.86999999999998</v>
      </c>
    </row>
    <row r="115" spans="1:24" x14ac:dyDescent="0.25">
      <c r="A115" s="363"/>
      <c r="B115" s="78" t="s">
        <v>439</v>
      </c>
      <c r="C115" s="46">
        <v>73.099999999999994</v>
      </c>
      <c r="D115" s="47">
        <v>77.35441999999999</v>
      </c>
      <c r="E115" s="47">
        <f t="shared" si="23"/>
        <v>77</v>
      </c>
      <c r="F115" s="47">
        <f>E115*1.092</f>
        <v>84.084000000000003</v>
      </c>
      <c r="G115" s="44">
        <v>93</v>
      </c>
      <c r="H115" s="44">
        <f>J115*I115</f>
        <v>144.26592295638602</v>
      </c>
      <c r="I115" s="70">
        <v>1.0620000000000001</v>
      </c>
      <c r="J115" s="44">
        <f>K115*L115</f>
        <v>135.84361860300001</v>
      </c>
      <c r="K115" s="70">
        <v>1.0640000000000001</v>
      </c>
      <c r="L115" s="44">
        <f t="shared" si="19"/>
        <v>127.67257387500001</v>
      </c>
      <c r="M115" s="47">
        <v>1.07</v>
      </c>
      <c r="N115" s="44">
        <f t="shared" si="24"/>
        <v>119.32016250000001</v>
      </c>
      <c r="O115" s="70">
        <v>1.075</v>
      </c>
      <c r="P115" s="44">
        <f t="shared" si="20"/>
        <v>110.99550000000001</v>
      </c>
      <c r="Q115" s="70">
        <v>1.085</v>
      </c>
      <c r="R115" s="44">
        <f>S115</f>
        <v>102.30000000000001</v>
      </c>
      <c r="S115" s="44">
        <f>G115*T115</f>
        <v>102.30000000000001</v>
      </c>
      <c r="T115" s="50">
        <v>1.1000000000000001</v>
      </c>
      <c r="U115" s="44">
        <f>I115*V115</f>
        <v>163.93513889225972</v>
      </c>
      <c r="V115" s="241">
        <f t="shared" si="9"/>
        <v>154.36453756333304</v>
      </c>
      <c r="W115" s="260">
        <f t="shared" si="10"/>
        <v>154.36453756333304</v>
      </c>
      <c r="X115" s="132">
        <f>198*106.5%</f>
        <v>210.86999999999998</v>
      </c>
    </row>
    <row r="116" spans="1:24" x14ac:dyDescent="0.25">
      <c r="A116" s="231" t="s">
        <v>62</v>
      </c>
      <c r="B116" s="250" t="s">
        <v>203</v>
      </c>
      <c r="C116" s="251">
        <v>426</v>
      </c>
      <c r="D116" s="216">
        <v>450.79320000000001</v>
      </c>
      <c r="E116" s="216">
        <f t="shared" si="23"/>
        <v>451</v>
      </c>
      <c r="F116" s="216">
        <f>E116*1.092</f>
        <v>492.49200000000002</v>
      </c>
      <c r="G116" s="217">
        <v>541</v>
      </c>
      <c r="H116" s="217">
        <f>J116*I116</f>
        <v>839.22434752048218</v>
      </c>
      <c r="I116" s="219">
        <v>1.0620000000000001</v>
      </c>
      <c r="J116" s="217">
        <f>K116*L116</f>
        <v>790.23008241100013</v>
      </c>
      <c r="K116" s="219">
        <v>1.0640000000000001</v>
      </c>
      <c r="L116" s="217">
        <f t="shared" si="19"/>
        <v>742.69744587500008</v>
      </c>
      <c r="M116" s="216">
        <v>1.07</v>
      </c>
      <c r="N116" s="217">
        <f t="shared" si="24"/>
        <v>694.10976249999999</v>
      </c>
      <c r="O116" s="219">
        <v>1.075</v>
      </c>
      <c r="P116" s="217">
        <f t="shared" si="20"/>
        <v>645.68349999999998</v>
      </c>
      <c r="Q116" s="219">
        <v>1.085</v>
      </c>
      <c r="R116" s="217">
        <f>S116</f>
        <v>595.1</v>
      </c>
      <c r="S116" s="217">
        <f>G116*T116</f>
        <v>595.1</v>
      </c>
      <c r="T116" s="220">
        <v>1.1000000000000001</v>
      </c>
      <c r="U116" s="217">
        <f>I116*V116</f>
        <v>953.64419506142485</v>
      </c>
      <c r="V116" s="15">
        <f t="shared" si="9"/>
        <v>897.97005184691602</v>
      </c>
      <c r="W116" s="263">
        <f t="shared" si="10"/>
        <v>897.97005184691602</v>
      </c>
      <c r="X116" s="132">
        <f>1151*106.5%</f>
        <v>1225.8149999999998</v>
      </c>
    </row>
    <row r="117" spans="1:24" ht="30" x14ac:dyDescent="0.25">
      <c r="A117" s="128" t="s">
        <v>63</v>
      </c>
      <c r="B117" s="36" t="s">
        <v>204</v>
      </c>
      <c r="C117" s="46">
        <v>95.7</v>
      </c>
      <c r="D117" s="47">
        <v>101.26974</v>
      </c>
      <c r="E117" s="47">
        <f t="shared" si="23"/>
        <v>101</v>
      </c>
      <c r="F117" s="47">
        <f>E117*1.092</f>
        <v>110.292</v>
      </c>
      <c r="G117" s="44">
        <v>121</v>
      </c>
      <c r="H117" s="199">
        <f>J117*I117</f>
        <v>187.70082449164207</v>
      </c>
      <c r="I117" s="70">
        <v>1.0620000000000001</v>
      </c>
      <c r="J117" s="44">
        <f>K117*L117</f>
        <v>176.74277259100006</v>
      </c>
      <c r="K117" s="70">
        <v>1.0640000000000001</v>
      </c>
      <c r="L117" s="44">
        <f t="shared" si="19"/>
        <v>166.11162837500004</v>
      </c>
      <c r="M117" s="47">
        <v>1.07</v>
      </c>
      <c r="N117" s="44">
        <f t="shared" si="24"/>
        <v>155.24451250000001</v>
      </c>
      <c r="O117" s="70">
        <v>1.075</v>
      </c>
      <c r="P117" s="44">
        <f t="shared" si="20"/>
        <v>144.41350000000003</v>
      </c>
      <c r="Q117" s="70">
        <v>1.085</v>
      </c>
      <c r="R117" s="44">
        <f>S117</f>
        <v>133.10000000000002</v>
      </c>
      <c r="S117" s="44">
        <f>G117*T117</f>
        <v>133.10000000000002</v>
      </c>
      <c r="T117" s="50">
        <v>1.1000000000000001</v>
      </c>
      <c r="U117" s="44">
        <f>I117*V117</f>
        <v>213.29195490283257</v>
      </c>
      <c r="V117" s="15">
        <f t="shared" si="9"/>
        <v>200.83988220605701</v>
      </c>
      <c r="W117" s="260">
        <f t="shared" si="10"/>
        <v>200.83988220605701</v>
      </c>
      <c r="X117" s="132">
        <f>259*106.5%</f>
        <v>275.83499999999998</v>
      </c>
    </row>
    <row r="118" spans="1:24" ht="30" x14ac:dyDescent="0.25">
      <c r="A118" s="128" t="s">
        <v>914</v>
      </c>
      <c r="B118" s="36" t="s">
        <v>915</v>
      </c>
      <c r="C118" s="316"/>
      <c r="D118" s="297"/>
      <c r="E118" s="297"/>
      <c r="F118" s="297"/>
      <c r="G118" s="298"/>
      <c r="H118" s="317"/>
      <c r="I118" s="318"/>
      <c r="J118" s="305"/>
      <c r="K118" s="70"/>
      <c r="L118" s="44"/>
      <c r="M118" s="47"/>
      <c r="N118" s="44"/>
      <c r="O118" s="70"/>
      <c r="P118" s="44"/>
      <c r="Q118" s="70"/>
      <c r="R118" s="44"/>
      <c r="S118" s="44"/>
      <c r="T118" s="50"/>
      <c r="U118" s="44"/>
      <c r="V118" s="15"/>
      <c r="W118" s="30"/>
      <c r="X118" s="132">
        <f>3167*106.5%</f>
        <v>3372.855</v>
      </c>
    </row>
    <row r="119" spans="1:24" x14ac:dyDescent="0.25">
      <c r="A119" s="362" t="s">
        <v>64</v>
      </c>
      <c r="B119" s="356" t="s">
        <v>654</v>
      </c>
      <c r="C119" s="357"/>
      <c r="D119" s="357"/>
      <c r="E119" s="357"/>
      <c r="F119" s="357"/>
      <c r="G119" s="357"/>
      <c r="H119" s="357"/>
      <c r="I119" s="357"/>
      <c r="J119" s="358"/>
      <c r="K119" s="47"/>
      <c r="L119" s="44"/>
      <c r="M119" s="47"/>
      <c r="N119" s="44"/>
      <c r="O119" s="70"/>
      <c r="P119" s="44"/>
      <c r="Q119" s="70"/>
      <c r="R119" s="44"/>
      <c r="S119" s="44"/>
      <c r="T119" s="50"/>
      <c r="U119" s="44"/>
      <c r="V119" s="15"/>
      <c r="X119" s="132"/>
    </row>
    <row r="120" spans="1:24" x14ac:dyDescent="0.25">
      <c r="A120" s="368"/>
      <c r="B120" s="33" t="s">
        <v>655</v>
      </c>
      <c r="C120" s="46">
        <v>107</v>
      </c>
      <c r="D120" s="47">
        <v>113.2274</v>
      </c>
      <c r="E120" s="47">
        <f t="shared" si="23"/>
        <v>113</v>
      </c>
      <c r="F120" s="47">
        <f t="shared" si="6"/>
        <v>123.39600000000002</v>
      </c>
      <c r="G120" s="44">
        <v>135</v>
      </c>
      <c r="H120" s="44">
        <f>J120*I120</f>
        <v>209.41827525927002</v>
      </c>
      <c r="I120" s="70">
        <v>1.0620000000000001</v>
      </c>
      <c r="J120" s="44">
        <f>K120*L120</f>
        <v>197.19234958500002</v>
      </c>
      <c r="K120" s="70">
        <v>1.0640000000000001</v>
      </c>
      <c r="L120" s="44">
        <f t="shared" si="19"/>
        <v>185.33115562500001</v>
      </c>
      <c r="M120" s="47">
        <v>1.07</v>
      </c>
      <c r="N120" s="44">
        <f t="shared" si="24"/>
        <v>173.20668749999999</v>
      </c>
      <c r="O120" s="70">
        <v>1.075</v>
      </c>
      <c r="P120" s="44">
        <f t="shared" si="20"/>
        <v>161.1225</v>
      </c>
      <c r="Q120" s="70">
        <v>1.085</v>
      </c>
      <c r="R120" s="44">
        <f>S120</f>
        <v>148.5</v>
      </c>
      <c r="S120" s="44">
        <f>G120*T120</f>
        <v>148.5</v>
      </c>
      <c r="T120" s="50">
        <v>1.1000000000000001</v>
      </c>
      <c r="U120" s="44">
        <f>I120*V120</f>
        <v>237.97036290811891</v>
      </c>
      <c r="V120" s="15">
        <f t="shared" si="9"/>
        <v>224.07755452741893</v>
      </c>
      <c r="W120" s="260">
        <f t="shared" si="10"/>
        <v>224.07755452741893</v>
      </c>
      <c r="X120" s="132">
        <f>288*106.5%</f>
        <v>306.71999999999997</v>
      </c>
    </row>
    <row r="121" spans="1:24" ht="30" x14ac:dyDescent="0.25">
      <c r="A121" s="368"/>
      <c r="B121" s="33" t="s">
        <v>916</v>
      </c>
      <c r="C121" s="46"/>
      <c r="D121" s="47"/>
      <c r="E121" s="47"/>
      <c r="F121" s="47"/>
      <c r="G121" s="44"/>
      <c r="H121" s="44"/>
      <c r="I121" s="70"/>
      <c r="J121" s="44"/>
      <c r="K121" s="70"/>
      <c r="L121" s="44"/>
      <c r="M121" s="47"/>
      <c r="N121" s="44"/>
      <c r="O121" s="70"/>
      <c r="P121" s="44"/>
      <c r="Q121" s="70"/>
      <c r="R121" s="44"/>
      <c r="S121" s="44"/>
      <c r="T121" s="50"/>
      <c r="U121" s="44"/>
      <c r="V121" s="15"/>
      <c r="W121" s="260"/>
      <c r="X121" s="132">
        <f>3197*106.5%</f>
        <v>3404.8049999999998</v>
      </c>
    </row>
    <row r="122" spans="1:24" s="18" customFormat="1" ht="30" x14ac:dyDescent="0.25">
      <c r="A122" s="368"/>
      <c r="B122" s="55" t="s">
        <v>656</v>
      </c>
      <c r="C122" s="46">
        <v>95.7</v>
      </c>
      <c r="D122" s="47">
        <v>101.26974</v>
      </c>
      <c r="E122" s="47">
        <f t="shared" si="23"/>
        <v>101</v>
      </c>
      <c r="F122" s="47">
        <f t="shared" si="6"/>
        <v>110.292</v>
      </c>
      <c r="G122" s="44">
        <v>121</v>
      </c>
      <c r="H122" s="199">
        <f>J122*I122</f>
        <v>187.70082449164207</v>
      </c>
      <c r="I122" s="70">
        <v>1.0620000000000001</v>
      </c>
      <c r="J122" s="44">
        <f>K122*L122</f>
        <v>176.74277259100006</v>
      </c>
      <c r="K122" s="70">
        <v>1.0640000000000001</v>
      </c>
      <c r="L122" s="44">
        <f t="shared" si="19"/>
        <v>166.11162837500004</v>
      </c>
      <c r="M122" s="47">
        <v>1.07</v>
      </c>
      <c r="N122" s="44">
        <f t="shared" si="24"/>
        <v>155.24451250000001</v>
      </c>
      <c r="O122" s="70">
        <v>1.075</v>
      </c>
      <c r="P122" s="44">
        <f t="shared" si="20"/>
        <v>144.41350000000003</v>
      </c>
      <c r="Q122" s="70">
        <v>1.085</v>
      </c>
      <c r="R122" s="44">
        <f>S122</f>
        <v>133.10000000000002</v>
      </c>
      <c r="S122" s="44">
        <f>G122*T122</f>
        <v>133.10000000000002</v>
      </c>
      <c r="T122" s="50">
        <v>1.1000000000000001</v>
      </c>
      <c r="U122" s="44">
        <f>I122*V122</f>
        <v>213.29195490283257</v>
      </c>
      <c r="V122" s="15">
        <f t="shared" si="9"/>
        <v>200.83988220605701</v>
      </c>
      <c r="W122" s="260">
        <f t="shared" si="10"/>
        <v>200.83988220605701</v>
      </c>
      <c r="X122" s="132">
        <f>259*106.5%</f>
        <v>275.83499999999998</v>
      </c>
    </row>
    <row r="123" spans="1:24" s="17" customFormat="1" x14ac:dyDescent="0.25">
      <c r="A123" s="362" t="s">
        <v>65</v>
      </c>
      <c r="B123" s="369" t="s">
        <v>733</v>
      </c>
      <c r="C123" s="370"/>
      <c r="D123" s="370"/>
      <c r="E123" s="370"/>
      <c r="F123" s="370"/>
      <c r="G123" s="370"/>
      <c r="H123" s="370"/>
      <c r="I123" s="370"/>
      <c r="J123" s="371"/>
      <c r="K123" s="47"/>
      <c r="L123" s="44"/>
      <c r="M123" s="47"/>
      <c r="N123" s="44"/>
      <c r="O123" s="70"/>
      <c r="P123" s="44"/>
      <c r="Q123" s="70"/>
      <c r="R123" s="44"/>
      <c r="S123" s="53"/>
      <c r="T123" s="50"/>
      <c r="U123" s="53"/>
      <c r="V123" s="21"/>
      <c r="X123" s="132"/>
    </row>
    <row r="124" spans="1:24" s="17" customFormat="1" x14ac:dyDescent="0.25">
      <c r="A124" s="363"/>
      <c r="B124" s="59" t="s">
        <v>728</v>
      </c>
      <c r="C124" s="51"/>
      <c r="D124" s="52"/>
      <c r="E124" s="52"/>
      <c r="F124" s="52"/>
      <c r="G124" s="53">
        <v>100</v>
      </c>
      <c r="H124" s="53">
        <f>J124*I124</f>
        <v>155.12464834020005</v>
      </c>
      <c r="I124" s="70">
        <v>1.0620000000000001</v>
      </c>
      <c r="J124" s="44">
        <f>K124*L124</f>
        <v>146.06840710000003</v>
      </c>
      <c r="K124" s="70">
        <v>1.0640000000000001</v>
      </c>
      <c r="L124" s="44">
        <f t="shared" si="19"/>
        <v>137.28233750000001</v>
      </c>
      <c r="M124" s="47">
        <v>1.07</v>
      </c>
      <c r="N124" s="44">
        <f t="shared" ref="N124:N130" si="25">O124*P124</f>
        <v>128.30125000000001</v>
      </c>
      <c r="O124" s="70">
        <v>1.075</v>
      </c>
      <c r="P124" s="44">
        <f t="shared" si="20"/>
        <v>119.35000000000001</v>
      </c>
      <c r="Q124" s="70">
        <v>1.085</v>
      </c>
      <c r="R124" s="44">
        <f>S124</f>
        <v>110.00000000000001</v>
      </c>
      <c r="S124" s="44">
        <f>G124*T124</f>
        <v>110.00000000000001</v>
      </c>
      <c r="T124" s="50">
        <v>1.1000000000000001</v>
      </c>
      <c r="U124" s="44">
        <f>I124*V124</f>
        <v>176.27434289490293</v>
      </c>
      <c r="V124" s="15">
        <f t="shared" si="9"/>
        <v>165.98337372401406</v>
      </c>
      <c r="W124" s="260">
        <f t="shared" si="10"/>
        <v>165.98337372401406</v>
      </c>
      <c r="X124" s="132">
        <f>213*106.5%</f>
        <v>226.845</v>
      </c>
    </row>
    <row r="125" spans="1:24" s="17" customFormat="1" x14ac:dyDescent="0.25">
      <c r="A125" s="363"/>
      <c r="B125" s="59" t="s">
        <v>730</v>
      </c>
      <c r="C125" s="51">
        <v>207</v>
      </c>
      <c r="D125" s="52">
        <v>219.04740000000001</v>
      </c>
      <c r="E125" s="52">
        <f>ROUND(D125,0)</f>
        <v>219</v>
      </c>
      <c r="F125" s="52">
        <f>E125*1.092</f>
        <v>239.14800000000002</v>
      </c>
      <c r="G125" s="53">
        <v>263</v>
      </c>
      <c r="H125" s="53">
        <f>J125*I125</f>
        <v>407.97782513472606</v>
      </c>
      <c r="I125" s="70">
        <v>1.0620000000000001</v>
      </c>
      <c r="J125" s="44">
        <f>K125*L125</f>
        <v>384.15991067300001</v>
      </c>
      <c r="K125" s="70">
        <v>1.0640000000000001</v>
      </c>
      <c r="L125" s="44">
        <f t="shared" si="19"/>
        <v>361.05254762499999</v>
      </c>
      <c r="M125" s="47">
        <v>1.07</v>
      </c>
      <c r="N125" s="44">
        <f t="shared" si="25"/>
        <v>337.43228749999997</v>
      </c>
      <c r="O125" s="70">
        <v>1.075</v>
      </c>
      <c r="P125" s="44">
        <f t="shared" si="20"/>
        <v>313.89049999999997</v>
      </c>
      <c r="Q125" s="70">
        <v>1.085</v>
      </c>
      <c r="R125" s="44">
        <f>S125</f>
        <v>289.3</v>
      </c>
      <c r="S125" s="44">
        <f>G125*T125</f>
        <v>289.3</v>
      </c>
      <c r="T125" s="50">
        <v>1.1000000000000001</v>
      </c>
      <c r="U125" s="44">
        <f>I125*V125</f>
        <v>463.60152181359467</v>
      </c>
      <c r="V125" s="15">
        <f t="shared" si="9"/>
        <v>436.53627289415692</v>
      </c>
      <c r="W125" s="260">
        <f t="shared" si="10"/>
        <v>436.53627289415692</v>
      </c>
      <c r="X125" s="132">
        <f>561*106.5%</f>
        <v>597.46499999999992</v>
      </c>
    </row>
    <row r="126" spans="1:24" s="17" customFormat="1" x14ac:dyDescent="0.25">
      <c r="A126" s="363"/>
      <c r="B126" s="59" t="s">
        <v>731</v>
      </c>
      <c r="C126" s="51">
        <v>887</v>
      </c>
      <c r="D126" s="52">
        <v>938.62340000000006</v>
      </c>
      <c r="E126" s="52">
        <f>ROUND(D126,0)</f>
        <v>939</v>
      </c>
      <c r="F126" s="52">
        <f>E126*1.092</f>
        <v>1025.3880000000001</v>
      </c>
      <c r="G126" s="53">
        <v>1128</v>
      </c>
      <c r="H126" s="53">
        <f>J126*I126</f>
        <v>1749.8060332774567</v>
      </c>
      <c r="I126" s="70">
        <v>1.0620000000000001</v>
      </c>
      <c r="J126" s="44">
        <f>K126*L126</f>
        <v>1647.6516320880005</v>
      </c>
      <c r="K126" s="70">
        <v>1.0640000000000001</v>
      </c>
      <c r="L126" s="44">
        <f t="shared" si="19"/>
        <v>1548.5447670000003</v>
      </c>
      <c r="M126" s="47">
        <v>1.07</v>
      </c>
      <c r="N126" s="44">
        <f t="shared" si="25"/>
        <v>1447.2381000000003</v>
      </c>
      <c r="O126" s="70">
        <v>1.075</v>
      </c>
      <c r="P126" s="44">
        <f t="shared" si="20"/>
        <v>1346.2680000000003</v>
      </c>
      <c r="Q126" s="70">
        <v>1.085</v>
      </c>
      <c r="R126" s="44">
        <f>S126</f>
        <v>1240.8000000000002</v>
      </c>
      <c r="S126" s="44">
        <f>G126*T126</f>
        <v>1240.8000000000002</v>
      </c>
      <c r="T126" s="50">
        <v>1.1000000000000001</v>
      </c>
      <c r="U126" s="44">
        <f>I126*V126</f>
        <v>1988.3745878545053</v>
      </c>
      <c r="V126" s="15">
        <f t="shared" ref="V126:V168" si="26">H126*107%</f>
        <v>1872.2924556068788</v>
      </c>
      <c r="W126" s="260">
        <f t="shared" ref="W126:W168" si="27">V126</f>
        <v>1872.2924556068788</v>
      </c>
      <c r="X126" s="132">
        <f>2400*106.5%</f>
        <v>2556</v>
      </c>
    </row>
    <row r="127" spans="1:24" s="17" customFormat="1" x14ac:dyDescent="0.25">
      <c r="A127" s="362" t="s">
        <v>66</v>
      </c>
      <c r="B127" s="356" t="s">
        <v>72</v>
      </c>
      <c r="C127" s="357"/>
      <c r="D127" s="357"/>
      <c r="E127" s="357"/>
      <c r="F127" s="357"/>
      <c r="G127" s="357"/>
      <c r="H127" s="357"/>
      <c r="I127" s="357"/>
      <c r="J127" s="358"/>
      <c r="K127" s="70">
        <v>1.0640000000000001</v>
      </c>
      <c r="L127" s="44"/>
      <c r="M127" s="47"/>
      <c r="N127" s="44"/>
      <c r="O127" s="70"/>
      <c r="P127" s="44"/>
      <c r="Q127" s="70"/>
      <c r="R127" s="44"/>
      <c r="S127" s="44"/>
      <c r="T127" s="50"/>
      <c r="U127" s="44"/>
      <c r="V127" s="21"/>
      <c r="X127" s="132"/>
    </row>
    <row r="128" spans="1:24" s="17" customFormat="1" x14ac:dyDescent="0.25">
      <c r="A128" s="363"/>
      <c r="B128" s="33" t="s">
        <v>728</v>
      </c>
      <c r="C128" s="46"/>
      <c r="D128" s="47"/>
      <c r="E128" s="47"/>
      <c r="F128" s="47"/>
      <c r="G128" s="44">
        <v>105</v>
      </c>
      <c r="H128" s="44">
        <f>J128*I128</f>
        <v>162.88088075721004</v>
      </c>
      <c r="I128" s="70">
        <v>1.0620000000000001</v>
      </c>
      <c r="J128" s="44">
        <f>K128*L128</f>
        <v>153.37182745500002</v>
      </c>
      <c r="K128" s="70">
        <v>1.0640000000000001</v>
      </c>
      <c r="L128" s="44">
        <f t="shared" si="19"/>
        <v>144.14645437500002</v>
      </c>
      <c r="M128" s="47">
        <v>1.07</v>
      </c>
      <c r="N128" s="44">
        <f t="shared" si="25"/>
        <v>134.71631250000002</v>
      </c>
      <c r="O128" s="70">
        <v>1.075</v>
      </c>
      <c r="P128" s="44">
        <f t="shared" si="20"/>
        <v>125.31750000000001</v>
      </c>
      <c r="Q128" s="70">
        <v>1.085</v>
      </c>
      <c r="R128" s="44">
        <f>S128</f>
        <v>115.50000000000001</v>
      </c>
      <c r="S128" s="44">
        <f>G128*T128</f>
        <v>115.50000000000001</v>
      </c>
      <c r="T128" s="50">
        <v>1.1000000000000001</v>
      </c>
      <c r="U128" s="44">
        <f>I128*V128</f>
        <v>185.08806003964807</v>
      </c>
      <c r="V128" s="15">
        <f t="shared" si="26"/>
        <v>174.28254241021475</v>
      </c>
      <c r="W128" s="260">
        <f t="shared" si="27"/>
        <v>174.28254241021475</v>
      </c>
      <c r="X128" s="132">
        <f>223*106.5%</f>
        <v>237.49499999999998</v>
      </c>
    </row>
    <row r="129" spans="1:24" s="17" customFormat="1" x14ac:dyDescent="0.25">
      <c r="A129" s="363"/>
      <c r="B129" s="33" t="s">
        <v>730</v>
      </c>
      <c r="C129" s="46">
        <v>111</v>
      </c>
      <c r="D129" s="47">
        <v>117.4602</v>
      </c>
      <c r="E129" s="47">
        <f>ROUND(D129,0)</f>
        <v>117</v>
      </c>
      <c r="F129" s="47">
        <f>E129*1.092</f>
        <v>127.76400000000001</v>
      </c>
      <c r="G129" s="44">
        <v>184</v>
      </c>
      <c r="H129" s="44">
        <f>J129*I129</f>
        <v>285.42935294596805</v>
      </c>
      <c r="I129" s="70">
        <v>1.0620000000000001</v>
      </c>
      <c r="J129" s="44">
        <f>K129*L129</f>
        <v>268.76586906400001</v>
      </c>
      <c r="K129" s="70">
        <v>1.0640000000000001</v>
      </c>
      <c r="L129" s="44">
        <f t="shared" si="19"/>
        <v>252.59950099999998</v>
      </c>
      <c r="M129" s="47">
        <v>1.07</v>
      </c>
      <c r="N129" s="44">
        <f t="shared" si="25"/>
        <v>236.07429999999997</v>
      </c>
      <c r="O129" s="70">
        <v>1.075</v>
      </c>
      <c r="P129" s="44">
        <f t="shared" si="20"/>
        <v>219.60399999999998</v>
      </c>
      <c r="Q129" s="70">
        <v>1.085</v>
      </c>
      <c r="R129" s="44">
        <f>S129</f>
        <v>202.4</v>
      </c>
      <c r="S129" s="44">
        <f>G129*T129</f>
        <v>202.4</v>
      </c>
      <c r="T129" s="50">
        <v>1.1000000000000001</v>
      </c>
      <c r="U129" s="44">
        <f>I129*V129</f>
        <v>324.34479092662139</v>
      </c>
      <c r="V129" s="15">
        <f t="shared" si="26"/>
        <v>305.40940765218585</v>
      </c>
      <c r="W129" s="260">
        <f t="shared" si="27"/>
        <v>305.40940765218585</v>
      </c>
      <c r="X129" s="132">
        <f>391*106.5%</f>
        <v>416.41499999999996</v>
      </c>
    </row>
    <row r="130" spans="1:24" s="17" customFormat="1" x14ac:dyDescent="0.25">
      <c r="A130" s="363"/>
      <c r="B130" s="33" t="s">
        <v>731</v>
      </c>
      <c r="C130" s="46">
        <v>507</v>
      </c>
      <c r="D130" s="47">
        <v>536.50739999999996</v>
      </c>
      <c r="E130" s="47">
        <f>ROUND(D130,0)</f>
        <v>537</v>
      </c>
      <c r="F130" s="47">
        <f>E130*1.092</f>
        <v>586.404</v>
      </c>
      <c r="G130" s="44">
        <v>645</v>
      </c>
      <c r="H130" s="44">
        <f>J130*I130</f>
        <v>1000.5539817942904</v>
      </c>
      <c r="I130" s="70">
        <v>1.0620000000000001</v>
      </c>
      <c r="J130" s="44">
        <f>K130*L130</f>
        <v>942.14122579500031</v>
      </c>
      <c r="K130" s="70">
        <v>1.0640000000000001</v>
      </c>
      <c r="L130" s="44">
        <f t="shared" si="19"/>
        <v>885.47107687500022</v>
      </c>
      <c r="M130" s="47">
        <v>1.07</v>
      </c>
      <c r="N130" s="44">
        <f t="shared" si="25"/>
        <v>827.54306250000013</v>
      </c>
      <c r="O130" s="70">
        <v>1.075</v>
      </c>
      <c r="P130" s="44">
        <f t="shared" si="20"/>
        <v>769.80750000000012</v>
      </c>
      <c r="Q130" s="70">
        <v>1.085</v>
      </c>
      <c r="R130" s="44">
        <f>S130</f>
        <v>709.50000000000011</v>
      </c>
      <c r="S130" s="44">
        <f>G130*T130</f>
        <v>709.50000000000011</v>
      </c>
      <c r="T130" s="50">
        <v>1.1000000000000001</v>
      </c>
      <c r="U130" s="44">
        <f>I130*V130</f>
        <v>1136.9695116721241</v>
      </c>
      <c r="V130" s="15">
        <f t="shared" si="26"/>
        <v>1070.5927605198908</v>
      </c>
      <c r="W130" s="260">
        <f t="shared" si="27"/>
        <v>1070.5927605198908</v>
      </c>
      <c r="X130" s="132">
        <f>1375*106.5%</f>
        <v>1464.375</v>
      </c>
    </row>
    <row r="131" spans="1:24" s="17" customFormat="1" x14ac:dyDescent="0.25">
      <c r="A131" s="363" t="s">
        <v>2</v>
      </c>
      <c r="B131" s="345" t="s">
        <v>292</v>
      </c>
      <c r="C131" s="346"/>
      <c r="D131" s="346"/>
      <c r="E131" s="346"/>
      <c r="F131" s="346"/>
      <c r="G131" s="346"/>
      <c r="H131" s="346"/>
      <c r="I131" s="346"/>
      <c r="J131" s="347"/>
      <c r="K131" s="70">
        <v>1.0640000000000001</v>
      </c>
      <c r="L131" s="44"/>
      <c r="M131" s="47"/>
      <c r="N131" s="44"/>
      <c r="O131" s="70"/>
      <c r="P131" s="44"/>
      <c r="Q131" s="70"/>
      <c r="R131" s="44"/>
      <c r="S131" s="44"/>
      <c r="T131" s="50"/>
      <c r="U131" s="44"/>
      <c r="V131" s="21"/>
      <c r="X131" s="132"/>
    </row>
    <row r="132" spans="1:24" x14ac:dyDescent="0.25">
      <c r="A132" s="363"/>
      <c r="B132" s="33" t="s">
        <v>295</v>
      </c>
      <c r="C132" s="46">
        <v>63.4</v>
      </c>
      <c r="D132" s="47">
        <v>67.089879999999994</v>
      </c>
      <c r="E132" s="47">
        <f>ROUND(D132,0)</f>
        <v>67</v>
      </c>
      <c r="F132" s="47">
        <f t="shared" ref="F132:F137" si="28">E132*1.092</f>
        <v>73.164000000000001</v>
      </c>
      <c r="G132" s="44">
        <v>80</v>
      </c>
      <c r="H132" s="44">
        <f t="shared" ref="H132:H137" si="29">J132*I132</f>
        <v>124.09971867216001</v>
      </c>
      <c r="I132" s="70">
        <v>1.0620000000000001</v>
      </c>
      <c r="J132" s="44">
        <f t="shared" ref="J132:J137" si="30">K132*L132</f>
        <v>116.85472568</v>
      </c>
      <c r="K132" s="70">
        <v>1.0640000000000001</v>
      </c>
      <c r="L132" s="44">
        <f t="shared" si="19"/>
        <v>109.82586999999999</v>
      </c>
      <c r="M132" s="47">
        <v>1.07</v>
      </c>
      <c r="N132" s="44">
        <f>O132*P132</f>
        <v>102.64099999999999</v>
      </c>
      <c r="O132" s="70">
        <v>1.075</v>
      </c>
      <c r="P132" s="44">
        <f t="shared" si="20"/>
        <v>95.47999999999999</v>
      </c>
      <c r="Q132" s="70">
        <v>1.085</v>
      </c>
      <c r="R132" s="44">
        <f t="shared" ref="R132:R137" si="31">S132</f>
        <v>88</v>
      </c>
      <c r="S132" s="44">
        <f t="shared" ref="S132:U137" si="32">G132*T132</f>
        <v>88</v>
      </c>
      <c r="T132" s="50">
        <v>1.1000000000000001</v>
      </c>
      <c r="U132" s="44">
        <f t="shared" si="32"/>
        <v>141.01947431592234</v>
      </c>
      <c r="V132" s="15">
        <f t="shared" si="26"/>
        <v>132.78669897921122</v>
      </c>
      <c r="W132" s="260">
        <f t="shared" si="27"/>
        <v>132.78669897921122</v>
      </c>
      <c r="X132" s="132">
        <f>170*106.5%</f>
        <v>181.04999999999998</v>
      </c>
    </row>
    <row r="133" spans="1:24" x14ac:dyDescent="0.25">
      <c r="A133" s="363"/>
      <c r="B133" s="33" t="s">
        <v>294</v>
      </c>
      <c r="C133" s="46"/>
      <c r="D133" s="47"/>
      <c r="E133" s="47"/>
      <c r="F133" s="47"/>
      <c r="G133" s="44">
        <v>150</v>
      </c>
      <c r="H133" s="44">
        <f t="shared" si="29"/>
        <v>285.94405224000002</v>
      </c>
      <c r="I133" s="70">
        <v>1.0620000000000001</v>
      </c>
      <c r="J133" s="44">
        <f t="shared" si="30"/>
        <v>269.25051999999999</v>
      </c>
      <c r="K133" s="70">
        <v>1.0640000000000001</v>
      </c>
      <c r="L133" s="44">
        <f t="shared" si="19"/>
        <v>253.05500000000001</v>
      </c>
      <c r="M133" s="47">
        <v>1.07</v>
      </c>
      <c r="N133" s="44">
        <f t="shared" ref="N133:N139" si="33">O133*P133</f>
        <v>236.5</v>
      </c>
      <c r="O133" s="70">
        <v>1.075</v>
      </c>
      <c r="P133" s="44">
        <v>220</v>
      </c>
      <c r="Q133" s="112" t="s">
        <v>259</v>
      </c>
      <c r="R133" s="44">
        <f t="shared" si="31"/>
        <v>203</v>
      </c>
      <c r="S133" s="44">
        <v>203</v>
      </c>
      <c r="T133" s="58" t="s">
        <v>437</v>
      </c>
      <c r="U133" s="44">
        <v>204</v>
      </c>
      <c r="V133" s="15">
        <f t="shared" si="26"/>
        <v>305.96013589680001</v>
      </c>
      <c r="W133" s="260">
        <f t="shared" si="27"/>
        <v>305.96013589680001</v>
      </c>
      <c r="X133" s="132">
        <f>393*106.5%</f>
        <v>418.54499999999996</v>
      </c>
    </row>
    <row r="134" spans="1:24" s="17" customFormat="1" x14ac:dyDescent="0.25">
      <c r="A134" s="363"/>
      <c r="B134" s="33" t="s">
        <v>293</v>
      </c>
      <c r="C134" s="46">
        <v>1065</v>
      </c>
      <c r="D134" s="47">
        <v>1126.9829999999999</v>
      </c>
      <c r="E134" s="47">
        <f>ROUND(D134,0)</f>
        <v>1127</v>
      </c>
      <c r="F134" s="47">
        <f t="shared" si="28"/>
        <v>1230.6840000000002</v>
      </c>
      <c r="G134" s="44">
        <v>1354</v>
      </c>
      <c r="H134" s="44">
        <f t="shared" si="29"/>
        <v>2100.3877385263081</v>
      </c>
      <c r="I134" s="70">
        <v>1.0620000000000001</v>
      </c>
      <c r="J134" s="44">
        <f t="shared" si="30"/>
        <v>1977.7662321340001</v>
      </c>
      <c r="K134" s="70">
        <v>1.0640000000000001</v>
      </c>
      <c r="L134" s="44">
        <f t="shared" si="19"/>
        <v>1858.80284975</v>
      </c>
      <c r="M134" s="47">
        <v>1.07</v>
      </c>
      <c r="N134" s="44">
        <f t="shared" si="33"/>
        <v>1737.1989249999999</v>
      </c>
      <c r="O134" s="70">
        <v>1.075</v>
      </c>
      <c r="P134" s="44">
        <f t="shared" si="20"/>
        <v>1615.999</v>
      </c>
      <c r="Q134" s="70">
        <v>1.085</v>
      </c>
      <c r="R134" s="44">
        <f t="shared" si="31"/>
        <v>1489.4</v>
      </c>
      <c r="S134" s="44">
        <f t="shared" si="32"/>
        <v>1489.4</v>
      </c>
      <c r="T134" s="50">
        <v>1.1000000000000001</v>
      </c>
      <c r="U134" s="44">
        <f t="shared" si="32"/>
        <v>2386.7546027969852</v>
      </c>
      <c r="V134" s="15">
        <f t="shared" si="26"/>
        <v>2247.4148802231498</v>
      </c>
      <c r="W134" s="260">
        <f t="shared" si="27"/>
        <v>2247.4148802231498</v>
      </c>
      <c r="X134" s="132">
        <f>2882*106.5%</f>
        <v>3069.33</v>
      </c>
    </row>
    <row r="135" spans="1:24" x14ac:dyDescent="0.25">
      <c r="A135" s="128" t="s">
        <v>67</v>
      </c>
      <c r="B135" s="36" t="s">
        <v>89</v>
      </c>
      <c r="C135" s="46">
        <v>1065</v>
      </c>
      <c r="D135" s="47">
        <v>1126.9829999999999</v>
      </c>
      <c r="E135" s="47">
        <f>ROUND(D135,0)</f>
        <v>1127</v>
      </c>
      <c r="F135" s="47">
        <f t="shared" si="28"/>
        <v>1230.6840000000002</v>
      </c>
      <c r="G135" s="44">
        <v>1354</v>
      </c>
      <c r="H135" s="44">
        <f t="shared" si="29"/>
        <v>2100.3877385263081</v>
      </c>
      <c r="I135" s="70">
        <v>1.0620000000000001</v>
      </c>
      <c r="J135" s="44">
        <f t="shared" si="30"/>
        <v>1977.7662321340001</v>
      </c>
      <c r="K135" s="70">
        <v>1.0640000000000001</v>
      </c>
      <c r="L135" s="44">
        <f t="shared" si="19"/>
        <v>1858.80284975</v>
      </c>
      <c r="M135" s="47">
        <v>1.07</v>
      </c>
      <c r="N135" s="44">
        <f t="shared" si="33"/>
        <v>1737.1989249999999</v>
      </c>
      <c r="O135" s="70">
        <v>1.075</v>
      </c>
      <c r="P135" s="44">
        <f t="shared" si="20"/>
        <v>1615.999</v>
      </c>
      <c r="Q135" s="70">
        <v>1.085</v>
      </c>
      <c r="R135" s="44">
        <f t="shared" si="31"/>
        <v>1489.4</v>
      </c>
      <c r="S135" s="44">
        <f t="shared" si="32"/>
        <v>1489.4</v>
      </c>
      <c r="T135" s="50">
        <v>1.1000000000000001</v>
      </c>
      <c r="U135" s="44">
        <f t="shared" si="32"/>
        <v>2386.7546027969852</v>
      </c>
      <c r="V135" s="15">
        <f t="shared" si="26"/>
        <v>2247.4148802231498</v>
      </c>
      <c r="W135" s="260">
        <f t="shared" si="27"/>
        <v>2247.4148802231498</v>
      </c>
      <c r="X135" s="132">
        <f>2882*106.5%</f>
        <v>3069.33</v>
      </c>
    </row>
    <row r="136" spans="1:24" s="17" customFormat="1" ht="30" x14ac:dyDescent="0.25">
      <c r="A136" s="128" t="s">
        <v>3</v>
      </c>
      <c r="B136" s="38" t="s">
        <v>270</v>
      </c>
      <c r="C136" s="51">
        <v>63.4</v>
      </c>
      <c r="D136" s="52">
        <v>67.089879999999994</v>
      </c>
      <c r="E136" s="52">
        <f>ROUND(D136,0)</f>
        <v>67</v>
      </c>
      <c r="F136" s="52">
        <f t="shared" si="28"/>
        <v>73.164000000000001</v>
      </c>
      <c r="G136" s="53">
        <v>80</v>
      </c>
      <c r="H136" s="44">
        <f t="shared" si="29"/>
        <v>124.09971867216001</v>
      </c>
      <c r="I136" s="70">
        <v>1.0620000000000001</v>
      </c>
      <c r="J136" s="44">
        <f t="shared" si="30"/>
        <v>116.85472568</v>
      </c>
      <c r="K136" s="70">
        <v>1.0640000000000001</v>
      </c>
      <c r="L136" s="44">
        <f t="shared" si="19"/>
        <v>109.82586999999999</v>
      </c>
      <c r="M136" s="47">
        <v>1.07</v>
      </c>
      <c r="N136" s="44">
        <f t="shared" si="33"/>
        <v>102.64099999999999</v>
      </c>
      <c r="O136" s="70">
        <v>1.075</v>
      </c>
      <c r="P136" s="44">
        <f t="shared" si="20"/>
        <v>95.47999999999999</v>
      </c>
      <c r="Q136" s="70">
        <v>1.085</v>
      </c>
      <c r="R136" s="44">
        <f t="shared" si="31"/>
        <v>88</v>
      </c>
      <c r="S136" s="44">
        <f t="shared" si="32"/>
        <v>88</v>
      </c>
      <c r="T136" s="50">
        <v>1.1000000000000001</v>
      </c>
      <c r="U136" s="44">
        <f t="shared" si="32"/>
        <v>141.01947431592234</v>
      </c>
      <c r="V136" s="15">
        <f t="shared" si="26"/>
        <v>132.78669897921122</v>
      </c>
      <c r="W136" s="260">
        <f t="shared" si="27"/>
        <v>132.78669897921122</v>
      </c>
      <c r="X136" s="132">
        <f>170*106.5%</f>
        <v>181.04999999999998</v>
      </c>
    </row>
    <row r="137" spans="1:24" x14ac:dyDescent="0.25">
      <c r="A137" s="128" t="s">
        <v>68</v>
      </c>
      <c r="B137" s="36" t="s">
        <v>39</v>
      </c>
      <c r="C137" s="46">
        <v>63.4</v>
      </c>
      <c r="D137" s="47">
        <v>67.089879999999994</v>
      </c>
      <c r="E137" s="47">
        <f>ROUND(D137,0)</f>
        <v>67</v>
      </c>
      <c r="F137" s="47">
        <f t="shared" si="28"/>
        <v>73.164000000000001</v>
      </c>
      <c r="G137" s="44">
        <v>80</v>
      </c>
      <c r="H137" s="44">
        <f t="shared" si="29"/>
        <v>124.09971867216001</v>
      </c>
      <c r="I137" s="70">
        <v>1.0620000000000001</v>
      </c>
      <c r="J137" s="44">
        <f t="shared" si="30"/>
        <v>116.85472568</v>
      </c>
      <c r="K137" s="70">
        <v>1.0640000000000001</v>
      </c>
      <c r="L137" s="44">
        <f t="shared" si="19"/>
        <v>109.82586999999999</v>
      </c>
      <c r="M137" s="47">
        <v>1.07</v>
      </c>
      <c r="N137" s="44">
        <f t="shared" si="33"/>
        <v>102.64099999999999</v>
      </c>
      <c r="O137" s="70">
        <v>1.075</v>
      </c>
      <c r="P137" s="44">
        <f t="shared" si="20"/>
        <v>95.47999999999999</v>
      </c>
      <c r="Q137" s="70">
        <v>1.085</v>
      </c>
      <c r="R137" s="44">
        <f t="shared" si="31"/>
        <v>88</v>
      </c>
      <c r="S137" s="44">
        <f t="shared" si="32"/>
        <v>88</v>
      </c>
      <c r="T137" s="50">
        <v>1.1000000000000001</v>
      </c>
      <c r="U137" s="44">
        <f t="shared" si="32"/>
        <v>141.01947431592234</v>
      </c>
      <c r="V137" s="15">
        <f t="shared" si="26"/>
        <v>132.78669897921122</v>
      </c>
      <c r="W137" s="260">
        <f t="shared" si="27"/>
        <v>132.78669897921122</v>
      </c>
      <c r="X137" s="132">
        <f>170*106.5%</f>
        <v>181.04999999999998</v>
      </c>
    </row>
    <row r="138" spans="1:24" x14ac:dyDescent="0.25">
      <c r="A138" s="362" t="s">
        <v>92</v>
      </c>
      <c r="B138" s="356" t="s">
        <v>284</v>
      </c>
      <c r="C138" s="357"/>
      <c r="D138" s="357"/>
      <c r="E138" s="357"/>
      <c r="F138" s="357"/>
      <c r="G138" s="357"/>
      <c r="H138" s="357"/>
      <c r="I138" s="357"/>
      <c r="J138" s="358"/>
      <c r="K138" s="47"/>
      <c r="L138" s="44"/>
      <c r="M138" s="47"/>
      <c r="N138" s="44"/>
      <c r="O138" s="70"/>
      <c r="P138" s="44"/>
      <c r="Q138" s="70"/>
      <c r="R138" s="44"/>
      <c r="S138" s="67"/>
      <c r="T138" s="50"/>
      <c r="U138" s="67"/>
      <c r="V138" s="15"/>
      <c r="X138" s="132"/>
    </row>
    <row r="139" spans="1:24" s="17" customFormat="1" x14ac:dyDescent="0.25">
      <c r="A139" s="363"/>
      <c r="B139" s="33" t="s">
        <v>283</v>
      </c>
      <c r="C139" s="51"/>
      <c r="D139" s="52"/>
      <c r="E139" s="52"/>
      <c r="F139" s="52"/>
      <c r="G139" s="44">
        <v>88</v>
      </c>
      <c r="H139" s="44">
        <f>J139*I139</f>
        <v>136.50969053937604</v>
      </c>
      <c r="I139" s="70">
        <v>1.0620000000000001</v>
      </c>
      <c r="J139" s="44">
        <f>K139*L139</f>
        <v>128.54019824800002</v>
      </c>
      <c r="K139" s="70">
        <v>1.0640000000000001</v>
      </c>
      <c r="L139" s="44">
        <f t="shared" si="19"/>
        <v>120.80845700000002</v>
      </c>
      <c r="M139" s="47">
        <v>1.07</v>
      </c>
      <c r="N139" s="44">
        <f t="shared" si="33"/>
        <v>112.9051</v>
      </c>
      <c r="O139" s="70">
        <v>1.075</v>
      </c>
      <c r="P139" s="44">
        <f t="shared" si="20"/>
        <v>105.02800000000001</v>
      </c>
      <c r="Q139" s="70">
        <v>1.085</v>
      </c>
      <c r="R139" s="44">
        <f>S139</f>
        <v>96.800000000000011</v>
      </c>
      <c r="S139" s="44">
        <f>G139*T139</f>
        <v>96.800000000000011</v>
      </c>
      <c r="T139" s="50">
        <v>1.1000000000000001</v>
      </c>
      <c r="U139" s="44">
        <f>I139*V139</f>
        <v>155.12142174751457</v>
      </c>
      <c r="V139" s="15">
        <f t="shared" si="26"/>
        <v>146.06536887713236</v>
      </c>
      <c r="W139" s="260">
        <f t="shared" si="27"/>
        <v>146.06536887713236</v>
      </c>
      <c r="X139" s="132">
        <f>187*106.5%</f>
        <v>199.155</v>
      </c>
    </row>
    <row r="140" spans="1:24" s="17" customFormat="1" x14ac:dyDescent="0.25">
      <c r="A140" s="363"/>
      <c r="B140" s="128" t="s">
        <v>73</v>
      </c>
      <c r="C140" s="51"/>
      <c r="D140" s="52"/>
      <c r="E140" s="52"/>
      <c r="F140" s="52"/>
      <c r="G140" s="53">
        <v>222</v>
      </c>
      <c r="H140" s="44">
        <f>J140*I140</f>
        <v>344.37671931524409</v>
      </c>
      <c r="I140" s="70">
        <v>1.0620000000000001</v>
      </c>
      <c r="J140" s="44">
        <f>K140*L140</f>
        <v>324.27186376200007</v>
      </c>
      <c r="K140" s="70">
        <v>1.0640000000000001</v>
      </c>
      <c r="L140" s="44">
        <f t="shared" si="19"/>
        <v>304.76678925000004</v>
      </c>
      <c r="M140" s="47">
        <v>1.07</v>
      </c>
      <c r="N140" s="44">
        <f>O140*P140</f>
        <v>284.82877500000001</v>
      </c>
      <c r="O140" s="70">
        <v>1.075</v>
      </c>
      <c r="P140" s="44">
        <f t="shared" si="20"/>
        <v>264.95699999999999</v>
      </c>
      <c r="Q140" s="70">
        <v>1.085</v>
      </c>
      <c r="R140" s="44">
        <f>S140</f>
        <v>244.20000000000002</v>
      </c>
      <c r="S140" s="44">
        <f>G140*T140</f>
        <v>244.20000000000002</v>
      </c>
      <c r="T140" s="50">
        <v>1.1000000000000001</v>
      </c>
      <c r="U140" s="44">
        <f>I140*V140</f>
        <v>391.32904122668452</v>
      </c>
      <c r="V140" s="15">
        <f t="shared" si="26"/>
        <v>368.48308966731122</v>
      </c>
      <c r="W140" s="260">
        <f t="shared" si="27"/>
        <v>368.48308966731122</v>
      </c>
      <c r="X140" s="132">
        <f>471*106.5%</f>
        <v>501.61499999999995</v>
      </c>
    </row>
    <row r="141" spans="1:24" s="17" customFormat="1" x14ac:dyDescent="0.25">
      <c r="A141" s="363"/>
      <c r="B141" s="128" t="s">
        <v>74</v>
      </c>
      <c r="C141" s="51"/>
      <c r="D141" s="52"/>
      <c r="E141" s="52"/>
      <c r="F141" s="52"/>
      <c r="G141" s="53">
        <v>996</v>
      </c>
      <c r="H141" s="44">
        <f>J141*I141</f>
        <v>1545.0414974683924</v>
      </c>
      <c r="I141" s="70">
        <v>1.0620000000000001</v>
      </c>
      <c r="J141" s="44">
        <f>K141*L141</f>
        <v>1454.8413347160003</v>
      </c>
      <c r="K141" s="70">
        <v>1.0640000000000001</v>
      </c>
      <c r="L141" s="44">
        <f t="shared" si="19"/>
        <v>1367.3320815000002</v>
      </c>
      <c r="M141" s="47">
        <v>1.07</v>
      </c>
      <c r="N141" s="44">
        <f t="shared" ref="N141:N151" si="34">O141*P141</f>
        <v>1277.8804500000001</v>
      </c>
      <c r="O141" s="70">
        <v>1.075</v>
      </c>
      <c r="P141" s="44">
        <f t="shared" si="20"/>
        <v>1188.7260000000001</v>
      </c>
      <c r="Q141" s="70">
        <v>1.085</v>
      </c>
      <c r="R141" s="44">
        <f>S141</f>
        <v>1095.6000000000001</v>
      </c>
      <c r="S141" s="44">
        <f>G141*T141</f>
        <v>1095.6000000000001</v>
      </c>
      <c r="T141" s="50">
        <v>1.1000000000000001</v>
      </c>
      <c r="U141" s="44">
        <f>I141*V141</f>
        <v>1755.6924552332332</v>
      </c>
      <c r="V141" s="15">
        <f t="shared" si="26"/>
        <v>1653.19440229118</v>
      </c>
      <c r="W141" s="260">
        <f t="shared" si="27"/>
        <v>1653.19440229118</v>
      </c>
      <c r="X141" s="132">
        <f>2120*106.5%</f>
        <v>2257.7999999999997</v>
      </c>
    </row>
    <row r="142" spans="1:24" x14ac:dyDescent="0.25">
      <c r="A142" s="128" t="s">
        <v>218</v>
      </c>
      <c r="B142" s="36" t="s">
        <v>666</v>
      </c>
      <c r="C142" s="46">
        <v>783</v>
      </c>
      <c r="D142" s="47">
        <v>828.57060000000001</v>
      </c>
      <c r="E142" s="47">
        <f>ROUND(D142,0)</f>
        <v>829</v>
      </c>
      <c r="F142" s="47">
        <f>E142*1.092</f>
        <v>905.26800000000003</v>
      </c>
      <c r="G142" s="44">
        <v>996</v>
      </c>
      <c r="H142" s="44">
        <f>J142*I142</f>
        <v>1545.0414974683924</v>
      </c>
      <c r="I142" s="70">
        <v>1.0620000000000001</v>
      </c>
      <c r="J142" s="44">
        <f>K142*L142</f>
        <v>1454.8413347160003</v>
      </c>
      <c r="K142" s="70">
        <v>1.0640000000000001</v>
      </c>
      <c r="L142" s="44">
        <f t="shared" si="19"/>
        <v>1367.3320815000002</v>
      </c>
      <c r="M142" s="47">
        <v>1.07</v>
      </c>
      <c r="N142" s="44">
        <f t="shared" si="34"/>
        <v>1277.8804500000001</v>
      </c>
      <c r="O142" s="70">
        <v>1.075</v>
      </c>
      <c r="P142" s="44">
        <f t="shared" si="20"/>
        <v>1188.7260000000001</v>
      </c>
      <c r="Q142" s="70">
        <v>1.085</v>
      </c>
      <c r="R142" s="44">
        <f>S142</f>
        <v>1095.6000000000001</v>
      </c>
      <c r="S142" s="44">
        <f>G142*T142</f>
        <v>1095.6000000000001</v>
      </c>
      <c r="T142" s="50">
        <v>1.1000000000000001</v>
      </c>
      <c r="U142" s="44">
        <f>I142*V142</f>
        <v>1755.6924552332332</v>
      </c>
      <c r="V142" s="15">
        <f t="shared" si="26"/>
        <v>1653.19440229118</v>
      </c>
      <c r="W142" s="260">
        <f t="shared" si="27"/>
        <v>1653.19440229118</v>
      </c>
      <c r="X142" s="132">
        <f>2120*106.5%</f>
        <v>2257.7999999999997</v>
      </c>
    </row>
    <row r="143" spans="1:24" s="31" customFormat="1" x14ac:dyDescent="0.25">
      <c r="A143" s="362" t="s">
        <v>4</v>
      </c>
      <c r="B143" s="356" t="s">
        <v>297</v>
      </c>
      <c r="C143" s="357"/>
      <c r="D143" s="357"/>
      <c r="E143" s="357"/>
      <c r="F143" s="357"/>
      <c r="G143" s="357"/>
      <c r="H143" s="357"/>
      <c r="I143" s="357"/>
      <c r="J143" s="358"/>
      <c r="K143" s="70"/>
      <c r="L143" s="44"/>
      <c r="M143" s="47"/>
      <c r="N143" s="44"/>
      <c r="O143" s="70"/>
      <c r="P143" s="44"/>
      <c r="Q143" s="70"/>
      <c r="R143" s="44"/>
      <c r="S143" s="79"/>
      <c r="T143" s="50"/>
      <c r="U143" s="79"/>
      <c r="V143" s="32"/>
      <c r="X143" s="132"/>
    </row>
    <row r="144" spans="1:24" s="31" customFormat="1" x14ac:dyDescent="0.25">
      <c r="A144" s="362"/>
      <c r="B144" s="33" t="s">
        <v>730</v>
      </c>
      <c r="C144" s="46">
        <v>310</v>
      </c>
      <c r="D144" s="47">
        <v>328.04200000000003</v>
      </c>
      <c r="E144" s="47">
        <f>ROUND(D144,0)</f>
        <v>328</v>
      </c>
      <c r="F144" s="47">
        <f>E144*1.092</f>
        <v>358.17600000000004</v>
      </c>
      <c r="G144" s="44">
        <v>275</v>
      </c>
      <c r="H144" s="44">
        <f>J144*I144</f>
        <v>426.59278293555002</v>
      </c>
      <c r="I144" s="70">
        <v>1.0620000000000001</v>
      </c>
      <c r="J144" s="44">
        <f>K144*L144</f>
        <v>401.68811952499999</v>
      </c>
      <c r="K144" s="70">
        <v>1.0640000000000001</v>
      </c>
      <c r="L144" s="44">
        <f t="shared" si="19"/>
        <v>377.526428125</v>
      </c>
      <c r="M144" s="47">
        <v>1.07</v>
      </c>
      <c r="N144" s="44">
        <f t="shared" si="34"/>
        <v>352.82843749999995</v>
      </c>
      <c r="O144" s="70">
        <v>1.075</v>
      </c>
      <c r="P144" s="44">
        <f t="shared" si="20"/>
        <v>328.21249999999998</v>
      </c>
      <c r="Q144" s="70">
        <v>1.085</v>
      </c>
      <c r="R144" s="44">
        <f>S144</f>
        <v>302.5</v>
      </c>
      <c r="S144" s="44">
        <f>G144*T144</f>
        <v>302.5</v>
      </c>
      <c r="T144" s="50">
        <v>1.1000000000000001</v>
      </c>
      <c r="U144" s="44">
        <f>I144*V144</f>
        <v>484.75444296098294</v>
      </c>
      <c r="V144" s="15">
        <f t="shared" si="26"/>
        <v>456.45427774103854</v>
      </c>
      <c r="W144" s="260">
        <f t="shared" si="27"/>
        <v>456.45427774103854</v>
      </c>
      <c r="X144" s="132">
        <f>585*106.5%</f>
        <v>623.02499999999998</v>
      </c>
    </row>
    <row r="145" spans="1:24" s="31" customFormat="1" x14ac:dyDescent="0.25">
      <c r="A145" s="362"/>
      <c r="B145" s="33" t="s">
        <v>731</v>
      </c>
      <c r="C145" s="46">
        <v>686</v>
      </c>
      <c r="D145" s="47">
        <v>725.92520000000002</v>
      </c>
      <c r="E145" s="47">
        <f>ROUND(D145,0)</f>
        <v>726</v>
      </c>
      <c r="F145" s="47">
        <f>E145*1.092</f>
        <v>792.79200000000003</v>
      </c>
      <c r="G145" s="44">
        <v>996</v>
      </c>
      <c r="H145" s="44">
        <f>J145*I145</f>
        <v>1545.0414974683924</v>
      </c>
      <c r="I145" s="70">
        <v>1.0620000000000001</v>
      </c>
      <c r="J145" s="44">
        <f>K145*L145</f>
        <v>1454.8413347160003</v>
      </c>
      <c r="K145" s="70">
        <v>1.0640000000000001</v>
      </c>
      <c r="L145" s="44">
        <f t="shared" si="19"/>
        <v>1367.3320815000002</v>
      </c>
      <c r="M145" s="47">
        <v>1.07</v>
      </c>
      <c r="N145" s="44">
        <f t="shared" si="34"/>
        <v>1277.8804500000001</v>
      </c>
      <c r="O145" s="70">
        <v>1.075</v>
      </c>
      <c r="P145" s="44">
        <f t="shared" si="20"/>
        <v>1188.7260000000001</v>
      </c>
      <c r="Q145" s="70">
        <v>1.085</v>
      </c>
      <c r="R145" s="44">
        <f>S145</f>
        <v>1095.6000000000001</v>
      </c>
      <c r="S145" s="44">
        <f>G145*T145</f>
        <v>1095.6000000000001</v>
      </c>
      <c r="T145" s="50">
        <v>1.1000000000000001</v>
      </c>
      <c r="U145" s="44">
        <f>I145*V145</f>
        <v>1755.6924552332332</v>
      </c>
      <c r="V145" s="15">
        <f t="shared" si="26"/>
        <v>1653.19440229118</v>
      </c>
      <c r="W145" s="260">
        <f t="shared" si="27"/>
        <v>1653.19440229118</v>
      </c>
      <c r="X145" s="132">
        <f>2120*106.5%</f>
        <v>2257.7999999999997</v>
      </c>
    </row>
    <row r="146" spans="1:24" x14ac:dyDescent="0.25">
      <c r="A146" s="362" t="s">
        <v>219</v>
      </c>
      <c r="B146" s="356" t="s">
        <v>298</v>
      </c>
      <c r="C146" s="357"/>
      <c r="D146" s="357"/>
      <c r="E146" s="357"/>
      <c r="F146" s="357"/>
      <c r="G146" s="357"/>
      <c r="H146" s="357"/>
      <c r="I146" s="357"/>
      <c r="J146" s="358"/>
      <c r="K146" s="47"/>
      <c r="L146" s="44"/>
      <c r="M146" s="47"/>
      <c r="N146" s="44"/>
      <c r="O146" s="70"/>
      <c r="P146" s="44"/>
      <c r="Q146" s="70"/>
      <c r="R146" s="44"/>
      <c r="S146" s="79"/>
      <c r="T146" s="50"/>
      <c r="U146" s="79"/>
      <c r="V146" s="15"/>
      <c r="X146" s="132"/>
    </row>
    <row r="147" spans="1:24" x14ac:dyDescent="0.25">
      <c r="A147" s="362"/>
      <c r="B147" s="33" t="s">
        <v>33</v>
      </c>
      <c r="C147" s="46"/>
      <c r="D147" s="47"/>
      <c r="E147" s="47"/>
      <c r="F147" s="47"/>
      <c r="G147" s="44">
        <v>222</v>
      </c>
      <c r="H147" s="44">
        <f>J147*I147</f>
        <v>344.37671931524409</v>
      </c>
      <c r="I147" s="70">
        <v>1.0620000000000001</v>
      </c>
      <c r="J147" s="44">
        <f>K147*L147</f>
        <v>324.27186376200007</v>
      </c>
      <c r="K147" s="70">
        <v>1.0640000000000001</v>
      </c>
      <c r="L147" s="44">
        <f t="shared" si="19"/>
        <v>304.76678925000004</v>
      </c>
      <c r="M147" s="47">
        <v>1.07</v>
      </c>
      <c r="N147" s="44">
        <f t="shared" si="34"/>
        <v>284.82877500000001</v>
      </c>
      <c r="O147" s="70">
        <v>1.075</v>
      </c>
      <c r="P147" s="44">
        <f t="shared" si="20"/>
        <v>264.95699999999999</v>
      </c>
      <c r="Q147" s="70">
        <v>1.085</v>
      </c>
      <c r="R147" s="44">
        <f>S147</f>
        <v>244.20000000000002</v>
      </c>
      <c r="S147" s="44">
        <f>G147*T147</f>
        <v>244.20000000000002</v>
      </c>
      <c r="T147" s="50">
        <v>1.1000000000000001</v>
      </c>
      <c r="U147" s="44">
        <f>I147*V147</f>
        <v>391.32904122668452</v>
      </c>
      <c r="V147" s="15">
        <f t="shared" si="26"/>
        <v>368.48308966731122</v>
      </c>
      <c r="W147" s="260">
        <f t="shared" si="27"/>
        <v>368.48308966731122</v>
      </c>
      <c r="X147" s="132">
        <f>471*106.5%</f>
        <v>501.61499999999995</v>
      </c>
    </row>
    <row r="148" spans="1:24" x14ac:dyDescent="0.25">
      <c r="A148" s="362"/>
      <c r="B148" s="33" t="s">
        <v>34</v>
      </c>
      <c r="C148" s="46"/>
      <c r="D148" s="47"/>
      <c r="E148" s="47"/>
      <c r="F148" s="47"/>
      <c r="G148" s="44">
        <v>996</v>
      </c>
      <c r="H148" s="44">
        <f>J148*I148</f>
        <v>1545.0414974683924</v>
      </c>
      <c r="I148" s="70">
        <v>1.0620000000000001</v>
      </c>
      <c r="J148" s="44">
        <f>K148*L148</f>
        <v>1454.8413347160003</v>
      </c>
      <c r="K148" s="70">
        <v>1.0640000000000001</v>
      </c>
      <c r="L148" s="44">
        <f t="shared" si="19"/>
        <v>1367.3320815000002</v>
      </c>
      <c r="M148" s="47">
        <v>1.07</v>
      </c>
      <c r="N148" s="44">
        <f t="shared" si="34"/>
        <v>1277.8804500000001</v>
      </c>
      <c r="O148" s="70">
        <v>1.075</v>
      </c>
      <c r="P148" s="44">
        <f t="shared" si="20"/>
        <v>1188.7260000000001</v>
      </c>
      <c r="Q148" s="70">
        <v>1.085</v>
      </c>
      <c r="R148" s="44">
        <f>S148</f>
        <v>1095.6000000000001</v>
      </c>
      <c r="S148" s="44">
        <f>G148*T148</f>
        <v>1095.6000000000001</v>
      </c>
      <c r="T148" s="50">
        <v>1.1000000000000001</v>
      </c>
      <c r="U148" s="44">
        <f>I148*V148</f>
        <v>1755.6924552332332</v>
      </c>
      <c r="V148" s="15">
        <f t="shared" si="26"/>
        <v>1653.19440229118</v>
      </c>
      <c r="W148" s="260">
        <f t="shared" si="27"/>
        <v>1653.19440229118</v>
      </c>
      <c r="X148" s="132">
        <f>2120*106.5%</f>
        <v>2257.7999999999997</v>
      </c>
    </row>
    <row r="149" spans="1:24" x14ac:dyDescent="0.25">
      <c r="A149" s="362" t="s">
        <v>220</v>
      </c>
      <c r="B149" s="356" t="s">
        <v>285</v>
      </c>
      <c r="C149" s="357"/>
      <c r="D149" s="357"/>
      <c r="E149" s="357"/>
      <c r="F149" s="357"/>
      <c r="G149" s="357"/>
      <c r="H149" s="357"/>
      <c r="I149" s="357"/>
      <c r="J149" s="358"/>
      <c r="K149" s="47"/>
      <c r="L149" s="44"/>
      <c r="M149" s="47"/>
      <c r="N149" s="44"/>
      <c r="O149" s="70"/>
      <c r="P149" s="44"/>
      <c r="Q149" s="70"/>
      <c r="R149" s="44"/>
      <c r="S149" s="67"/>
      <c r="T149" s="50"/>
      <c r="U149" s="67"/>
      <c r="V149" s="15"/>
      <c r="X149" s="132"/>
    </row>
    <row r="150" spans="1:24" x14ac:dyDescent="0.25">
      <c r="A150" s="362"/>
      <c r="B150" s="33" t="s">
        <v>283</v>
      </c>
      <c r="C150" s="284"/>
      <c r="D150" s="284"/>
      <c r="E150" s="284"/>
      <c r="F150" s="284"/>
      <c r="G150" s="44">
        <v>48</v>
      </c>
      <c r="H150" s="44">
        <f>J150*I150</f>
        <v>74.459831203296019</v>
      </c>
      <c r="I150" s="70">
        <v>1.0620000000000001</v>
      </c>
      <c r="J150" s="44">
        <f>K150*L150</f>
        <v>70.112835408000009</v>
      </c>
      <c r="K150" s="70">
        <v>1.0640000000000001</v>
      </c>
      <c r="L150" s="44">
        <f t="shared" si="19"/>
        <v>65.895522</v>
      </c>
      <c r="M150" s="47">
        <v>1.07</v>
      </c>
      <c r="N150" s="44">
        <f t="shared" si="34"/>
        <v>61.584600000000002</v>
      </c>
      <c r="O150" s="70">
        <v>1.075</v>
      </c>
      <c r="P150" s="44">
        <f t="shared" si="20"/>
        <v>57.288000000000004</v>
      </c>
      <c r="Q150" s="70">
        <v>1.085</v>
      </c>
      <c r="R150" s="44">
        <f>S150</f>
        <v>52.800000000000004</v>
      </c>
      <c r="S150" s="44">
        <f>G150*T150</f>
        <v>52.800000000000004</v>
      </c>
      <c r="T150" s="50">
        <v>1.1000000000000001</v>
      </c>
      <c r="U150" s="44">
        <f>I150*V150</f>
        <v>84.611684589553406</v>
      </c>
      <c r="V150" s="15">
        <f t="shared" si="26"/>
        <v>79.672019387526746</v>
      </c>
      <c r="W150" s="260">
        <f t="shared" si="27"/>
        <v>79.672019387526746</v>
      </c>
      <c r="X150" s="132">
        <f>102*106.5%</f>
        <v>108.63</v>
      </c>
    </row>
    <row r="151" spans="1:24" x14ac:dyDescent="0.25">
      <c r="A151" s="362"/>
      <c r="B151" s="128" t="s">
        <v>286</v>
      </c>
      <c r="C151" s="284"/>
      <c r="D151" s="284"/>
      <c r="E151" s="284"/>
      <c r="F151" s="284"/>
      <c r="G151" s="44">
        <v>184</v>
      </c>
      <c r="H151" s="44">
        <f>J151*I151</f>
        <v>285.42935294596805</v>
      </c>
      <c r="I151" s="70">
        <v>1.0620000000000001</v>
      </c>
      <c r="J151" s="44">
        <f>K151*L151</f>
        <v>268.76586906400001</v>
      </c>
      <c r="K151" s="70">
        <v>1.0640000000000001</v>
      </c>
      <c r="L151" s="44">
        <f t="shared" si="19"/>
        <v>252.59950099999998</v>
      </c>
      <c r="M151" s="47">
        <v>1.07</v>
      </c>
      <c r="N151" s="44">
        <f t="shared" si="34"/>
        <v>236.07429999999997</v>
      </c>
      <c r="O151" s="70">
        <v>1.075</v>
      </c>
      <c r="P151" s="44">
        <f t="shared" si="20"/>
        <v>219.60399999999998</v>
      </c>
      <c r="Q151" s="70">
        <v>1.085</v>
      </c>
      <c r="R151" s="44">
        <f>S151</f>
        <v>202.4</v>
      </c>
      <c r="S151" s="44">
        <f>G151*T151</f>
        <v>202.4</v>
      </c>
      <c r="T151" s="50">
        <v>1.1000000000000001</v>
      </c>
      <c r="U151" s="44">
        <f>I151*V151</f>
        <v>324.34479092662139</v>
      </c>
      <c r="V151" s="15">
        <f t="shared" si="26"/>
        <v>305.40940765218585</v>
      </c>
      <c r="W151" s="260">
        <f t="shared" si="27"/>
        <v>305.40940765218585</v>
      </c>
      <c r="X151" s="132">
        <f>391*106.5%</f>
        <v>416.41499999999996</v>
      </c>
    </row>
    <row r="152" spans="1:24" x14ac:dyDescent="0.25">
      <c r="A152" s="362"/>
      <c r="B152" s="128" t="s">
        <v>287</v>
      </c>
      <c r="C152" s="284"/>
      <c r="D152" s="284"/>
      <c r="E152" s="284"/>
      <c r="F152" s="284"/>
      <c r="G152" s="44">
        <v>635</v>
      </c>
      <c r="H152" s="44">
        <f>J152*I152</f>
        <v>985.04151696027009</v>
      </c>
      <c r="I152" s="70">
        <v>1.0620000000000001</v>
      </c>
      <c r="J152" s="44">
        <f>K152*L152</f>
        <v>927.53438508500005</v>
      </c>
      <c r="K152" s="70">
        <v>1.0640000000000001</v>
      </c>
      <c r="L152" s="44">
        <f t="shared" si="19"/>
        <v>871.74284312500004</v>
      </c>
      <c r="M152" s="47">
        <v>1.07</v>
      </c>
      <c r="N152" s="44">
        <f>O152*P152</f>
        <v>814.71293749999995</v>
      </c>
      <c r="O152" s="70">
        <v>1.075</v>
      </c>
      <c r="P152" s="44">
        <f t="shared" si="20"/>
        <v>757.87249999999995</v>
      </c>
      <c r="Q152" s="70">
        <v>1.085</v>
      </c>
      <c r="R152" s="44">
        <f>S152</f>
        <v>698.5</v>
      </c>
      <c r="S152" s="44">
        <f>G152*T152</f>
        <v>698.5</v>
      </c>
      <c r="T152" s="50">
        <v>1.1000000000000001</v>
      </c>
      <c r="U152" s="44">
        <f>I152*V152</f>
        <v>1119.3420773826333</v>
      </c>
      <c r="V152" s="15">
        <f t="shared" si="26"/>
        <v>1053.994423147489</v>
      </c>
      <c r="W152" s="260">
        <f t="shared" si="27"/>
        <v>1053.994423147489</v>
      </c>
      <c r="X152" s="132">
        <f>1352*106.5%</f>
        <v>1439.8799999999999</v>
      </c>
    </row>
    <row r="153" spans="1:24" x14ac:dyDescent="0.25">
      <c r="A153" s="362" t="s">
        <v>221</v>
      </c>
      <c r="B153" s="356" t="s">
        <v>734</v>
      </c>
      <c r="C153" s="357"/>
      <c r="D153" s="357"/>
      <c r="E153" s="357"/>
      <c r="F153" s="357"/>
      <c r="G153" s="357"/>
      <c r="H153" s="357"/>
      <c r="I153" s="357"/>
      <c r="J153" s="358"/>
      <c r="K153" s="47"/>
      <c r="L153" s="44"/>
      <c r="M153" s="47"/>
      <c r="N153" s="44"/>
      <c r="O153" s="70"/>
      <c r="P153" s="44"/>
      <c r="Q153" s="70"/>
      <c r="R153" s="44"/>
      <c r="S153" s="44"/>
      <c r="T153" s="50"/>
      <c r="U153" s="44"/>
      <c r="V153" s="15"/>
      <c r="X153" s="132"/>
    </row>
    <row r="154" spans="1:24" s="17" customFormat="1" x14ac:dyDescent="0.25">
      <c r="A154" s="362"/>
      <c r="B154" s="59" t="s">
        <v>730</v>
      </c>
      <c r="C154" s="51"/>
      <c r="D154" s="52"/>
      <c r="E154" s="52"/>
      <c r="F154" s="52"/>
      <c r="G154" s="53">
        <v>184</v>
      </c>
      <c r="H154" s="53">
        <f>J154*I154</f>
        <v>285.42935294596805</v>
      </c>
      <c r="I154" s="70">
        <v>1.0620000000000001</v>
      </c>
      <c r="J154" s="44">
        <f>K154*L154</f>
        <v>268.76586906400001</v>
      </c>
      <c r="K154" s="70">
        <v>1.0640000000000001</v>
      </c>
      <c r="L154" s="44">
        <f t="shared" ref="L154:L229" si="35">M154*N154</f>
        <v>252.59950099999998</v>
      </c>
      <c r="M154" s="47">
        <v>1.07</v>
      </c>
      <c r="N154" s="44">
        <f>O154*P154</f>
        <v>236.07429999999997</v>
      </c>
      <c r="O154" s="70">
        <v>1.075</v>
      </c>
      <c r="P154" s="44">
        <f t="shared" si="20"/>
        <v>219.60399999999998</v>
      </c>
      <c r="Q154" s="70">
        <v>1.085</v>
      </c>
      <c r="R154" s="44">
        <f>S154</f>
        <v>202.4</v>
      </c>
      <c r="S154" s="44">
        <f>G154*T154</f>
        <v>202.4</v>
      </c>
      <c r="T154" s="50">
        <v>1.1000000000000001</v>
      </c>
      <c r="U154" s="44">
        <f>I154*V154</f>
        <v>324.34479092662139</v>
      </c>
      <c r="V154" s="15">
        <f t="shared" si="26"/>
        <v>305.40940765218585</v>
      </c>
      <c r="W154" s="260">
        <f t="shared" si="27"/>
        <v>305.40940765218585</v>
      </c>
      <c r="X154" s="132">
        <f>391*106.5%</f>
        <v>416.41499999999996</v>
      </c>
    </row>
    <row r="155" spans="1:24" s="17" customFormat="1" x14ac:dyDescent="0.25">
      <c r="A155" s="362"/>
      <c r="B155" s="59" t="s">
        <v>731</v>
      </c>
      <c r="C155" s="51">
        <v>499</v>
      </c>
      <c r="D155" s="52">
        <v>528.04179999999997</v>
      </c>
      <c r="E155" s="52">
        <f>ROUND(D155,0)</f>
        <v>528</v>
      </c>
      <c r="F155" s="52">
        <f>E155*1.092</f>
        <v>576.57600000000002</v>
      </c>
      <c r="G155" s="53">
        <v>635</v>
      </c>
      <c r="H155" s="53">
        <f>J155*I155</f>
        <v>985.04151696027009</v>
      </c>
      <c r="I155" s="70">
        <v>1.0620000000000001</v>
      </c>
      <c r="J155" s="44">
        <f>K155*L155</f>
        <v>927.53438508500005</v>
      </c>
      <c r="K155" s="70">
        <v>1.0640000000000001</v>
      </c>
      <c r="L155" s="44">
        <f t="shared" si="35"/>
        <v>871.74284312500004</v>
      </c>
      <c r="M155" s="47">
        <v>1.07</v>
      </c>
      <c r="N155" s="44">
        <f>O155*P155</f>
        <v>814.71293749999995</v>
      </c>
      <c r="O155" s="70">
        <v>1.075</v>
      </c>
      <c r="P155" s="44">
        <f t="shared" si="20"/>
        <v>757.87249999999995</v>
      </c>
      <c r="Q155" s="70">
        <v>1.085</v>
      </c>
      <c r="R155" s="44">
        <f>S155</f>
        <v>698.5</v>
      </c>
      <c r="S155" s="44">
        <f>G155*T155</f>
        <v>698.5</v>
      </c>
      <c r="T155" s="50">
        <v>1.1000000000000001</v>
      </c>
      <c r="U155" s="44">
        <f>I155*V155</f>
        <v>1119.3420773826333</v>
      </c>
      <c r="V155" s="15">
        <f t="shared" si="26"/>
        <v>1053.994423147489</v>
      </c>
      <c r="W155" s="260">
        <f t="shared" si="27"/>
        <v>1053.994423147489</v>
      </c>
      <c r="X155" s="132">
        <f>1352*106.5%</f>
        <v>1439.8799999999999</v>
      </c>
    </row>
    <row r="156" spans="1:24" s="17" customFormat="1" x14ac:dyDescent="0.25">
      <c r="A156" s="362" t="s">
        <v>917</v>
      </c>
      <c r="B156" s="356" t="s">
        <v>918</v>
      </c>
      <c r="C156" s="357"/>
      <c r="D156" s="357"/>
      <c r="E156" s="357"/>
      <c r="F156" s="357"/>
      <c r="G156" s="357"/>
      <c r="H156" s="357"/>
      <c r="I156" s="357"/>
      <c r="J156" s="358"/>
      <c r="K156" s="70"/>
      <c r="L156" s="44"/>
      <c r="M156" s="47"/>
      <c r="N156" s="44"/>
      <c r="O156" s="70"/>
      <c r="P156" s="44"/>
      <c r="Q156" s="70"/>
      <c r="R156" s="44"/>
      <c r="S156" s="44"/>
      <c r="T156" s="50"/>
      <c r="U156" s="44"/>
      <c r="V156" s="15"/>
      <c r="W156" s="30"/>
      <c r="X156" s="132"/>
    </row>
    <row r="157" spans="1:24" s="17" customFormat="1" x14ac:dyDescent="0.25">
      <c r="A157" s="362"/>
      <c r="B157" s="59" t="s">
        <v>730</v>
      </c>
      <c r="C157" s="320"/>
      <c r="D157" s="321"/>
      <c r="E157" s="321"/>
      <c r="F157" s="321"/>
      <c r="G157" s="322"/>
      <c r="H157" s="322"/>
      <c r="I157" s="318"/>
      <c r="J157" s="305"/>
      <c r="K157" s="70"/>
      <c r="L157" s="44"/>
      <c r="M157" s="47"/>
      <c r="N157" s="44"/>
      <c r="O157" s="70"/>
      <c r="P157" s="44"/>
      <c r="Q157" s="70"/>
      <c r="R157" s="44"/>
      <c r="S157" s="44"/>
      <c r="T157" s="50"/>
      <c r="U157" s="44"/>
      <c r="V157" s="15"/>
      <c r="W157" s="30"/>
      <c r="X157" s="132">
        <f>1801*106.5%</f>
        <v>1918.0649999999998</v>
      </c>
    </row>
    <row r="158" spans="1:24" s="17" customFormat="1" x14ac:dyDescent="0.25">
      <c r="A158" s="362"/>
      <c r="B158" s="59" t="s">
        <v>731</v>
      </c>
      <c r="C158" s="320"/>
      <c r="D158" s="321"/>
      <c r="E158" s="321"/>
      <c r="F158" s="321"/>
      <c r="G158" s="322"/>
      <c r="H158" s="322"/>
      <c r="I158" s="318"/>
      <c r="J158" s="305"/>
      <c r="K158" s="70"/>
      <c r="L158" s="44"/>
      <c r="M158" s="47"/>
      <c r="N158" s="44"/>
      <c r="O158" s="70"/>
      <c r="P158" s="44"/>
      <c r="Q158" s="70"/>
      <c r="R158" s="44"/>
      <c r="S158" s="44"/>
      <c r="T158" s="50"/>
      <c r="U158" s="44"/>
      <c r="V158" s="15"/>
      <c r="W158" s="30"/>
      <c r="X158" s="132">
        <f>3267*106.5%</f>
        <v>3479.355</v>
      </c>
    </row>
    <row r="159" spans="1:24" x14ac:dyDescent="0.25">
      <c r="A159" s="362" t="s">
        <v>222</v>
      </c>
      <c r="B159" s="356" t="s">
        <v>735</v>
      </c>
      <c r="C159" s="357"/>
      <c r="D159" s="357"/>
      <c r="E159" s="357"/>
      <c r="F159" s="357"/>
      <c r="G159" s="357"/>
      <c r="H159" s="357"/>
      <c r="I159" s="357"/>
      <c r="J159" s="358"/>
      <c r="K159" s="47"/>
      <c r="L159" s="44"/>
      <c r="M159" s="47"/>
      <c r="N159" s="44"/>
      <c r="O159" s="70"/>
      <c r="P159" s="44"/>
      <c r="Q159" s="70"/>
      <c r="R159" s="44"/>
      <c r="S159" s="44"/>
      <c r="T159" s="50"/>
      <c r="U159" s="44"/>
      <c r="V159" s="15"/>
      <c r="X159" s="132"/>
    </row>
    <row r="160" spans="1:24" s="17" customFormat="1" x14ac:dyDescent="0.25">
      <c r="A160" s="362"/>
      <c r="B160" s="59" t="s">
        <v>730</v>
      </c>
      <c r="C160" s="51"/>
      <c r="D160" s="52"/>
      <c r="E160" s="52"/>
      <c r="F160" s="52"/>
      <c r="G160" s="53">
        <v>215</v>
      </c>
      <c r="H160" s="53">
        <f>J160*I160</f>
        <v>333.51799393143006</v>
      </c>
      <c r="I160" s="70">
        <v>1.0620000000000001</v>
      </c>
      <c r="J160" s="44">
        <f>K160*L160</f>
        <v>314.04707526500005</v>
      </c>
      <c r="K160" s="70">
        <v>1.0640000000000001</v>
      </c>
      <c r="L160" s="44">
        <f t="shared" si="35"/>
        <v>295.15702562500002</v>
      </c>
      <c r="M160" s="47">
        <v>1.07</v>
      </c>
      <c r="N160" s="44">
        <f>O160*P160</f>
        <v>275.84768750000001</v>
      </c>
      <c r="O160" s="70">
        <v>1.075</v>
      </c>
      <c r="P160" s="44">
        <f t="shared" si="20"/>
        <v>256.60250000000002</v>
      </c>
      <c r="Q160" s="70">
        <v>1.085</v>
      </c>
      <c r="R160" s="44">
        <f>S160</f>
        <v>236.50000000000003</v>
      </c>
      <c r="S160" s="44">
        <f>G160*T160</f>
        <v>236.50000000000003</v>
      </c>
      <c r="T160" s="50">
        <v>1.1000000000000001</v>
      </c>
      <c r="U160" s="44">
        <f>I160*V160</f>
        <v>378.98983722404125</v>
      </c>
      <c r="V160" s="15">
        <f t="shared" si="26"/>
        <v>356.86425350663018</v>
      </c>
      <c r="W160" s="260">
        <f t="shared" si="27"/>
        <v>356.86425350663018</v>
      </c>
      <c r="X160" s="132">
        <f>459*106.5%</f>
        <v>488.83499999999998</v>
      </c>
    </row>
    <row r="161" spans="1:24" s="17" customFormat="1" x14ac:dyDescent="0.25">
      <c r="A161" s="362"/>
      <c r="B161" s="59" t="s">
        <v>731</v>
      </c>
      <c r="C161" s="51">
        <v>530</v>
      </c>
      <c r="D161" s="52">
        <v>560.846</v>
      </c>
      <c r="E161" s="52">
        <f>ROUND(D161,0)</f>
        <v>561</v>
      </c>
      <c r="F161" s="52">
        <f>E161*1.092</f>
        <v>612.61200000000008</v>
      </c>
      <c r="G161" s="53">
        <v>675</v>
      </c>
      <c r="H161" s="53">
        <f>J161*I161</f>
        <v>1047.0913762963503</v>
      </c>
      <c r="I161" s="70">
        <v>1.0620000000000001</v>
      </c>
      <c r="J161" s="44">
        <f>K161*L161</f>
        <v>985.96174792500017</v>
      </c>
      <c r="K161" s="70">
        <v>1.0640000000000001</v>
      </c>
      <c r="L161" s="44">
        <f t="shared" si="35"/>
        <v>926.6557781250001</v>
      </c>
      <c r="M161" s="47">
        <v>1.07</v>
      </c>
      <c r="N161" s="44">
        <f>O161*P161</f>
        <v>866.03343749999999</v>
      </c>
      <c r="O161" s="70">
        <v>1.075</v>
      </c>
      <c r="P161" s="44">
        <f t="shared" si="20"/>
        <v>805.61250000000007</v>
      </c>
      <c r="Q161" s="70">
        <v>1.085</v>
      </c>
      <c r="R161" s="44">
        <f>S161</f>
        <v>742.50000000000011</v>
      </c>
      <c r="S161" s="44">
        <f>G161*T161</f>
        <v>742.50000000000011</v>
      </c>
      <c r="T161" s="50">
        <v>1.1000000000000001</v>
      </c>
      <c r="U161" s="44">
        <f>I161*V161</f>
        <v>1189.8518145405949</v>
      </c>
      <c r="V161" s="15">
        <f t="shared" si="26"/>
        <v>1120.3877726370949</v>
      </c>
      <c r="W161" s="260">
        <f t="shared" si="27"/>
        <v>1120.3877726370949</v>
      </c>
      <c r="X161" s="132">
        <f>1437*106.5%</f>
        <v>1530.405</v>
      </c>
    </row>
    <row r="162" spans="1:24" x14ac:dyDescent="0.25">
      <c r="A162" s="362" t="s">
        <v>223</v>
      </c>
      <c r="B162" s="350" t="s">
        <v>288</v>
      </c>
      <c r="C162" s="351"/>
      <c r="D162" s="351"/>
      <c r="E162" s="351"/>
      <c r="F162" s="351"/>
      <c r="G162" s="351"/>
      <c r="H162" s="351"/>
      <c r="I162" s="351"/>
      <c r="J162" s="352"/>
      <c r="K162" s="47"/>
      <c r="L162" s="44"/>
      <c r="M162" s="47"/>
      <c r="N162" s="44"/>
      <c r="O162" s="70"/>
      <c r="P162" s="44"/>
      <c r="Q162" s="70"/>
      <c r="R162" s="44"/>
      <c r="S162" s="67"/>
      <c r="T162" s="50"/>
      <c r="U162" s="67"/>
      <c r="V162" s="15"/>
      <c r="X162" s="132"/>
    </row>
    <row r="163" spans="1:24" x14ac:dyDescent="0.25">
      <c r="A163" s="362"/>
      <c r="B163" s="33" t="s">
        <v>289</v>
      </c>
      <c r="C163" s="46">
        <v>82.4</v>
      </c>
      <c r="D163" s="47">
        <v>87.19568000000001</v>
      </c>
      <c r="E163" s="47">
        <f>ROUND(D163,0)</f>
        <v>87</v>
      </c>
      <c r="F163" s="47">
        <f>E163*1.092</f>
        <v>95.004000000000005</v>
      </c>
      <c r="G163" s="44">
        <v>105</v>
      </c>
      <c r="H163" s="44">
        <f>J163*I163</f>
        <v>162.88088075721004</v>
      </c>
      <c r="I163" s="70">
        <v>1.0620000000000001</v>
      </c>
      <c r="J163" s="44">
        <f>K163*L163</f>
        <v>153.37182745500002</v>
      </c>
      <c r="K163" s="70">
        <v>1.0640000000000001</v>
      </c>
      <c r="L163" s="44">
        <f t="shared" si="35"/>
        <v>144.14645437500002</v>
      </c>
      <c r="M163" s="47">
        <v>1.07</v>
      </c>
      <c r="N163" s="44">
        <f t="shared" ref="N163:N170" si="36">O163*P163</f>
        <v>134.71631250000002</v>
      </c>
      <c r="O163" s="70">
        <v>1.075</v>
      </c>
      <c r="P163" s="44">
        <f t="shared" si="20"/>
        <v>125.31750000000001</v>
      </c>
      <c r="Q163" s="70">
        <v>1.085</v>
      </c>
      <c r="R163" s="44">
        <f>S163</f>
        <v>115.50000000000001</v>
      </c>
      <c r="S163" s="44">
        <f>G163*T163</f>
        <v>115.50000000000001</v>
      </c>
      <c r="T163" s="50">
        <v>1.1000000000000001</v>
      </c>
      <c r="U163" s="44">
        <f>I163*V163</f>
        <v>185.08806003964807</v>
      </c>
      <c r="V163" s="15">
        <f t="shared" si="26"/>
        <v>174.28254241021475</v>
      </c>
      <c r="W163" s="260">
        <f t="shared" si="27"/>
        <v>174.28254241021475</v>
      </c>
      <c r="X163" s="132">
        <f>223*106.5%</f>
        <v>237.49499999999998</v>
      </c>
    </row>
    <row r="164" spans="1:24" x14ac:dyDescent="0.25">
      <c r="A164" s="362"/>
      <c r="B164" s="33" t="s">
        <v>290</v>
      </c>
      <c r="C164" s="46">
        <v>95.2</v>
      </c>
      <c r="D164" s="47">
        <v>100.74064</v>
      </c>
      <c r="E164" s="47">
        <f>ROUND(D164,0)</f>
        <v>101</v>
      </c>
      <c r="F164" s="47">
        <f>E164*1.092</f>
        <v>110.292</v>
      </c>
      <c r="G164" s="44">
        <v>121</v>
      </c>
      <c r="H164" s="44">
        <f>J164*I164</f>
        <v>187.70082449164207</v>
      </c>
      <c r="I164" s="70">
        <v>1.0620000000000001</v>
      </c>
      <c r="J164" s="44">
        <f>K164*L164</f>
        <v>176.74277259100006</v>
      </c>
      <c r="K164" s="70">
        <v>1.0640000000000001</v>
      </c>
      <c r="L164" s="44">
        <f t="shared" si="35"/>
        <v>166.11162837500004</v>
      </c>
      <c r="M164" s="47">
        <v>1.07</v>
      </c>
      <c r="N164" s="44">
        <f t="shared" si="36"/>
        <v>155.24451250000001</v>
      </c>
      <c r="O164" s="70">
        <v>1.075</v>
      </c>
      <c r="P164" s="44">
        <f t="shared" si="20"/>
        <v>144.41350000000003</v>
      </c>
      <c r="Q164" s="70">
        <v>1.085</v>
      </c>
      <c r="R164" s="44">
        <f>S164</f>
        <v>133.10000000000002</v>
      </c>
      <c r="S164" s="44">
        <f>G164*T164</f>
        <v>133.10000000000002</v>
      </c>
      <c r="T164" s="50">
        <v>1.1000000000000001</v>
      </c>
      <c r="U164" s="44">
        <f>I164*V164</f>
        <v>213.29195490283257</v>
      </c>
      <c r="V164" s="15">
        <f t="shared" si="26"/>
        <v>200.83988220605701</v>
      </c>
      <c r="W164" s="260">
        <f t="shared" si="27"/>
        <v>200.83988220605701</v>
      </c>
      <c r="X164" s="132">
        <f>259*106.5%</f>
        <v>275.83499999999998</v>
      </c>
    </row>
    <row r="165" spans="1:24" x14ac:dyDescent="0.25">
      <c r="A165" s="362"/>
      <c r="B165" s="33" t="s">
        <v>291</v>
      </c>
      <c r="C165" s="46">
        <v>107</v>
      </c>
      <c r="D165" s="47">
        <v>113.2274</v>
      </c>
      <c r="E165" s="47">
        <f>ROUND(D165,0)</f>
        <v>113</v>
      </c>
      <c r="F165" s="47">
        <f>E165*1.092</f>
        <v>123.39600000000002</v>
      </c>
      <c r="G165" s="44">
        <v>135</v>
      </c>
      <c r="H165" s="44">
        <f>J165*I165</f>
        <v>209.41827525927002</v>
      </c>
      <c r="I165" s="70">
        <v>1.0620000000000001</v>
      </c>
      <c r="J165" s="44">
        <f>K165*L165</f>
        <v>197.19234958500002</v>
      </c>
      <c r="K165" s="70">
        <v>1.0640000000000001</v>
      </c>
      <c r="L165" s="44">
        <f t="shared" si="35"/>
        <v>185.33115562500001</v>
      </c>
      <c r="M165" s="47">
        <v>1.07</v>
      </c>
      <c r="N165" s="44">
        <f t="shared" si="36"/>
        <v>173.20668749999999</v>
      </c>
      <c r="O165" s="70">
        <v>1.075</v>
      </c>
      <c r="P165" s="44">
        <f t="shared" si="20"/>
        <v>161.1225</v>
      </c>
      <c r="Q165" s="70">
        <v>1.085</v>
      </c>
      <c r="R165" s="44">
        <f>S165</f>
        <v>148.5</v>
      </c>
      <c r="S165" s="44">
        <f>G165*T165</f>
        <v>148.5</v>
      </c>
      <c r="T165" s="50">
        <v>1.1000000000000001</v>
      </c>
      <c r="U165" s="44">
        <f>I165*V165</f>
        <v>237.97036290811891</v>
      </c>
      <c r="V165" s="15">
        <f t="shared" si="26"/>
        <v>224.07755452741893</v>
      </c>
      <c r="W165" s="260">
        <f t="shared" si="27"/>
        <v>224.07755452741893</v>
      </c>
      <c r="X165" s="132">
        <f>288*106.5%</f>
        <v>306.71999999999997</v>
      </c>
    </row>
    <row r="166" spans="1:24" x14ac:dyDescent="0.25">
      <c r="A166" s="362" t="s">
        <v>224</v>
      </c>
      <c r="B166" s="356" t="s">
        <v>736</v>
      </c>
      <c r="C166" s="357"/>
      <c r="D166" s="357"/>
      <c r="E166" s="357"/>
      <c r="F166" s="357"/>
      <c r="G166" s="357"/>
      <c r="H166" s="357"/>
      <c r="I166" s="357"/>
      <c r="J166" s="358"/>
      <c r="K166" s="47"/>
      <c r="L166" s="44"/>
      <c r="M166" s="47"/>
      <c r="N166" s="44"/>
      <c r="O166" s="70"/>
      <c r="P166" s="44"/>
      <c r="Q166" s="70"/>
      <c r="R166" s="44"/>
      <c r="S166" s="44"/>
      <c r="T166" s="50"/>
      <c r="U166" s="44"/>
      <c r="V166" s="15"/>
      <c r="X166" s="132"/>
    </row>
    <row r="167" spans="1:24" s="17" customFormat="1" x14ac:dyDescent="0.25">
      <c r="A167" s="362"/>
      <c r="B167" s="59" t="s">
        <v>730</v>
      </c>
      <c r="C167" s="51">
        <v>322</v>
      </c>
      <c r="D167" s="52">
        <v>340.74040000000002</v>
      </c>
      <c r="E167" s="52">
        <f>ROUND(D167,0)</f>
        <v>341</v>
      </c>
      <c r="F167" s="52">
        <f>E167*1.092</f>
        <v>372.37200000000001</v>
      </c>
      <c r="G167" s="53">
        <v>409</v>
      </c>
      <c r="H167" s="53">
        <f>J167*I167</f>
        <v>634.45981171141796</v>
      </c>
      <c r="I167" s="70">
        <v>1.0620000000000001</v>
      </c>
      <c r="J167" s="44">
        <f>K167*L167</f>
        <v>597.41978503899998</v>
      </c>
      <c r="K167" s="70">
        <v>1.0640000000000001</v>
      </c>
      <c r="L167" s="44">
        <f t="shared" si="35"/>
        <v>561.48476037499995</v>
      </c>
      <c r="M167" s="47">
        <v>1.07</v>
      </c>
      <c r="N167" s="44">
        <f t="shared" si="36"/>
        <v>524.75211249999995</v>
      </c>
      <c r="O167" s="70">
        <v>1.075</v>
      </c>
      <c r="P167" s="44">
        <f t="shared" ref="P167:P245" si="37">Q167*R167</f>
        <v>488.14150000000001</v>
      </c>
      <c r="Q167" s="70">
        <v>1.085</v>
      </c>
      <c r="R167" s="44">
        <f>S167</f>
        <v>449.90000000000003</v>
      </c>
      <c r="S167" s="44">
        <f>G167*T167</f>
        <v>449.90000000000003</v>
      </c>
      <c r="T167" s="50">
        <v>1.1000000000000001</v>
      </c>
      <c r="U167" s="44">
        <f>I167*V167</f>
        <v>720.96206244015275</v>
      </c>
      <c r="V167" s="15">
        <f t="shared" si="26"/>
        <v>678.87199853121729</v>
      </c>
      <c r="W167" s="260">
        <f t="shared" si="27"/>
        <v>678.87199853121729</v>
      </c>
      <c r="X167" s="132">
        <f>870*106.5%</f>
        <v>926.55</v>
      </c>
    </row>
    <row r="168" spans="1:24" s="17" customFormat="1" x14ac:dyDescent="0.25">
      <c r="A168" s="362"/>
      <c r="B168" s="59" t="s">
        <v>731</v>
      </c>
      <c r="C168" s="51">
        <v>832</v>
      </c>
      <c r="D168" s="52">
        <v>880.42240000000004</v>
      </c>
      <c r="E168" s="52">
        <f>ROUND(D168,0)</f>
        <v>880</v>
      </c>
      <c r="F168" s="52">
        <f>E168*1.092</f>
        <v>960.96</v>
      </c>
      <c r="G168" s="53">
        <v>1057</v>
      </c>
      <c r="H168" s="53">
        <f>J168*I168</f>
        <v>1639.6675329559146</v>
      </c>
      <c r="I168" s="70">
        <v>1.0620000000000001</v>
      </c>
      <c r="J168" s="44">
        <f>K168*L168</f>
        <v>1543.9430630470004</v>
      </c>
      <c r="K168" s="70">
        <v>1.0640000000000001</v>
      </c>
      <c r="L168" s="44">
        <f t="shared" si="35"/>
        <v>1451.0743073750002</v>
      </c>
      <c r="M168" s="47">
        <v>1.07</v>
      </c>
      <c r="N168" s="44">
        <f t="shared" si="36"/>
        <v>1356.1442125000001</v>
      </c>
      <c r="O168" s="70">
        <v>1.075</v>
      </c>
      <c r="P168" s="44">
        <f t="shared" si="37"/>
        <v>1261.5295000000001</v>
      </c>
      <c r="Q168" s="70">
        <v>1.085</v>
      </c>
      <c r="R168" s="44">
        <f>S168</f>
        <v>1162.7</v>
      </c>
      <c r="S168" s="44">
        <f>G168*T168</f>
        <v>1162.7</v>
      </c>
      <c r="T168" s="50">
        <v>1.1000000000000001</v>
      </c>
      <c r="U168" s="44">
        <f>I168*V168</f>
        <v>1863.2198043991241</v>
      </c>
      <c r="V168" s="15">
        <f t="shared" si="26"/>
        <v>1754.4442602628287</v>
      </c>
      <c r="W168" s="260">
        <f t="shared" si="27"/>
        <v>1754.4442602628287</v>
      </c>
      <c r="X168" s="132">
        <f>2248*106.5%</f>
        <v>2394.12</v>
      </c>
    </row>
    <row r="169" spans="1:24" x14ac:dyDescent="0.25">
      <c r="A169" s="362" t="s">
        <v>607</v>
      </c>
      <c r="B169" s="356" t="s">
        <v>737</v>
      </c>
      <c r="C169" s="357"/>
      <c r="D169" s="357"/>
      <c r="E169" s="357"/>
      <c r="F169" s="357"/>
      <c r="G169" s="357"/>
      <c r="H169" s="357"/>
      <c r="I169" s="357"/>
      <c r="J169" s="358"/>
      <c r="K169" s="47"/>
      <c r="L169" s="44"/>
      <c r="M169" s="47"/>
      <c r="N169" s="44"/>
      <c r="O169" s="70"/>
      <c r="P169" s="44"/>
      <c r="Q169" s="70"/>
      <c r="R169" s="44"/>
      <c r="S169" s="44"/>
      <c r="T169" s="50"/>
      <c r="U169" s="44"/>
      <c r="V169" s="15"/>
      <c r="X169" s="132"/>
    </row>
    <row r="170" spans="1:24" s="17" customFormat="1" x14ac:dyDescent="0.25">
      <c r="A170" s="362"/>
      <c r="B170" s="59" t="s">
        <v>728</v>
      </c>
      <c r="C170" s="51"/>
      <c r="D170" s="52"/>
      <c r="E170" s="52"/>
      <c r="F170" s="52"/>
      <c r="G170" s="53">
        <v>121</v>
      </c>
      <c r="H170" s="53">
        <f t="shared" ref="H170:H250" si="38">J170*I170</f>
        <v>187.70082449164207</v>
      </c>
      <c r="I170" s="70">
        <v>1.0620000000000001</v>
      </c>
      <c r="J170" s="44">
        <f>K170*L170</f>
        <v>176.74277259100006</v>
      </c>
      <c r="K170" s="70">
        <v>1.0640000000000001</v>
      </c>
      <c r="L170" s="44">
        <f t="shared" si="35"/>
        <v>166.11162837500004</v>
      </c>
      <c r="M170" s="47">
        <v>1.07</v>
      </c>
      <c r="N170" s="44">
        <f t="shared" si="36"/>
        <v>155.24451250000001</v>
      </c>
      <c r="O170" s="70">
        <v>1.075</v>
      </c>
      <c r="P170" s="44">
        <f t="shared" si="37"/>
        <v>144.41350000000003</v>
      </c>
      <c r="Q170" s="70">
        <v>1.085</v>
      </c>
      <c r="R170" s="44">
        <f>S170</f>
        <v>133.10000000000002</v>
      </c>
      <c r="S170" s="44">
        <f>G170*T170</f>
        <v>133.10000000000002</v>
      </c>
      <c r="T170" s="50">
        <v>1.1000000000000001</v>
      </c>
      <c r="U170" s="44">
        <f>I170*V170</f>
        <v>213.29195490283257</v>
      </c>
      <c r="V170" s="15">
        <f>H170*107%</f>
        <v>200.83988220605701</v>
      </c>
      <c r="W170" s="260">
        <f>V170</f>
        <v>200.83988220605701</v>
      </c>
      <c r="X170" s="132">
        <f>259*106.5%</f>
        <v>275.83499999999998</v>
      </c>
    </row>
    <row r="171" spans="1:24" s="17" customFormat="1" x14ac:dyDescent="0.25">
      <c r="A171" s="362"/>
      <c r="B171" s="59" t="s">
        <v>730</v>
      </c>
      <c r="C171" s="51">
        <v>167</v>
      </c>
      <c r="D171" s="52">
        <v>176.71940000000001</v>
      </c>
      <c r="E171" s="52">
        <f>ROUND(D171,0)</f>
        <v>177</v>
      </c>
      <c r="F171" s="52">
        <f>E171*1.092</f>
        <v>193.28400000000002</v>
      </c>
      <c r="G171" s="53">
        <v>212</v>
      </c>
      <c r="H171" s="53">
        <f t="shared" si="38"/>
        <v>328.86425448122407</v>
      </c>
      <c r="I171" s="70">
        <v>1.0620000000000001</v>
      </c>
      <c r="J171" s="44">
        <f>K171*L171</f>
        <v>309.66502305200004</v>
      </c>
      <c r="K171" s="70">
        <v>1.0640000000000001</v>
      </c>
      <c r="L171" s="44">
        <f t="shared" si="35"/>
        <v>291.03855550000003</v>
      </c>
      <c r="M171" s="47">
        <v>1.07</v>
      </c>
      <c r="N171" s="44">
        <f>O171*P171</f>
        <v>271.99865</v>
      </c>
      <c r="O171" s="70">
        <v>1.075</v>
      </c>
      <c r="P171" s="44">
        <f t="shared" si="37"/>
        <v>253.02200000000002</v>
      </c>
      <c r="Q171" s="70">
        <v>1.085</v>
      </c>
      <c r="R171" s="44">
        <f>S171</f>
        <v>233.20000000000002</v>
      </c>
      <c r="S171" s="44">
        <f>G171*T171</f>
        <v>233.20000000000002</v>
      </c>
      <c r="T171" s="50">
        <v>1.1000000000000001</v>
      </c>
      <c r="U171" s="44">
        <f>I171*V171</f>
        <v>373.70160693719424</v>
      </c>
      <c r="V171" s="15">
        <f>H171*107%</f>
        <v>351.88475229490979</v>
      </c>
      <c r="W171" s="260">
        <f>V171</f>
        <v>351.88475229490979</v>
      </c>
      <c r="X171" s="132">
        <f>451*106.5%</f>
        <v>480.315</v>
      </c>
    </row>
    <row r="172" spans="1:24" s="17" customFormat="1" x14ac:dyDescent="0.25">
      <c r="A172" s="362"/>
      <c r="B172" s="59" t="s">
        <v>731</v>
      </c>
      <c r="C172" s="51">
        <v>383</v>
      </c>
      <c r="D172" s="52">
        <v>405.29059999999998</v>
      </c>
      <c r="E172" s="52">
        <f>ROUND(D172,0)</f>
        <v>405</v>
      </c>
      <c r="F172" s="52">
        <f>E172*1.092</f>
        <v>442.26000000000005</v>
      </c>
      <c r="G172" s="53">
        <v>486</v>
      </c>
      <c r="H172" s="53">
        <f t="shared" si="38"/>
        <v>753.90579093337203</v>
      </c>
      <c r="I172" s="70">
        <v>1.0620000000000001</v>
      </c>
      <c r="J172" s="44">
        <f>K172*L172</f>
        <v>709.89245850600003</v>
      </c>
      <c r="K172" s="70">
        <v>1.0640000000000001</v>
      </c>
      <c r="L172" s="44">
        <f t="shared" si="35"/>
        <v>667.19216025000003</v>
      </c>
      <c r="M172" s="47">
        <v>1.07</v>
      </c>
      <c r="N172" s="44">
        <f t="shared" ref="N172:N194" si="39">O172*P172</f>
        <v>623.54407500000002</v>
      </c>
      <c r="O172" s="70">
        <v>1.075</v>
      </c>
      <c r="P172" s="44">
        <f t="shared" si="37"/>
        <v>580.04100000000005</v>
      </c>
      <c r="Q172" s="70">
        <v>1.085</v>
      </c>
      <c r="R172" s="44">
        <f>S172</f>
        <v>534.6</v>
      </c>
      <c r="S172" s="44">
        <f>G172*T172</f>
        <v>534.6</v>
      </c>
      <c r="T172" s="50">
        <v>1.1000000000000001</v>
      </c>
      <c r="U172" s="44">
        <f>I172*V172</f>
        <v>856.69330646922811</v>
      </c>
      <c r="V172" s="15">
        <f>H172*107%</f>
        <v>806.67919629870812</v>
      </c>
      <c r="W172" s="260">
        <f>V172</f>
        <v>806.67919629870812</v>
      </c>
      <c r="X172" s="132">
        <f>1034*106.5%</f>
        <v>1101.21</v>
      </c>
    </row>
    <row r="173" spans="1:24" s="17" customFormat="1" x14ac:dyDescent="0.25">
      <c r="A173" s="362" t="s">
        <v>225</v>
      </c>
      <c r="B173" s="369" t="s">
        <v>605</v>
      </c>
      <c r="C173" s="370"/>
      <c r="D173" s="370"/>
      <c r="E173" s="370"/>
      <c r="F173" s="370"/>
      <c r="G173" s="370"/>
      <c r="H173" s="370"/>
      <c r="I173" s="370"/>
      <c r="J173" s="371"/>
      <c r="K173" s="47"/>
      <c r="L173" s="44"/>
      <c r="M173" s="47"/>
      <c r="N173" s="44"/>
      <c r="O173" s="70"/>
      <c r="P173" s="44"/>
      <c r="Q173" s="70"/>
      <c r="R173" s="44"/>
      <c r="S173" s="53"/>
      <c r="T173" s="50"/>
      <c r="U173" s="53"/>
      <c r="V173" s="21"/>
      <c r="X173" s="132"/>
    </row>
    <row r="174" spans="1:24" s="17" customFormat="1" x14ac:dyDescent="0.25">
      <c r="A174" s="363"/>
      <c r="B174" s="59" t="s">
        <v>730</v>
      </c>
      <c r="C174" s="51"/>
      <c r="D174" s="52"/>
      <c r="E174" s="52"/>
      <c r="F174" s="52"/>
      <c r="G174" s="53">
        <v>625</v>
      </c>
      <c r="H174" s="53">
        <f t="shared" si="38"/>
        <v>969.52905212625024</v>
      </c>
      <c r="I174" s="70">
        <v>1.0620000000000001</v>
      </c>
      <c r="J174" s="44">
        <f>K174*L174</f>
        <v>912.92754437500014</v>
      </c>
      <c r="K174" s="70">
        <v>1.0640000000000001</v>
      </c>
      <c r="L174" s="44">
        <f t="shared" si="35"/>
        <v>858.01460937500008</v>
      </c>
      <c r="M174" s="47">
        <v>1.07</v>
      </c>
      <c r="N174" s="44">
        <f t="shared" si="39"/>
        <v>801.8828125</v>
      </c>
      <c r="O174" s="70">
        <v>1.075</v>
      </c>
      <c r="P174" s="44">
        <f t="shared" si="37"/>
        <v>745.9375</v>
      </c>
      <c r="Q174" s="70">
        <v>1.085</v>
      </c>
      <c r="R174" s="44">
        <f>S174</f>
        <v>687.5</v>
      </c>
      <c r="S174" s="44">
        <f>G174*T174</f>
        <v>687.5</v>
      </c>
      <c r="T174" s="50">
        <v>1.1000000000000001</v>
      </c>
      <c r="U174" s="44">
        <f>I174*V174</f>
        <v>1101.7146430931434</v>
      </c>
      <c r="V174" s="15">
        <f>H174*107%</f>
        <v>1037.3960857750878</v>
      </c>
      <c r="W174" s="260">
        <f>V174</f>
        <v>1037.3960857750878</v>
      </c>
      <c r="X174" s="132">
        <f>1330*106.5%</f>
        <v>1416.4499999999998</v>
      </c>
    </row>
    <row r="175" spans="1:24" s="17" customFormat="1" x14ac:dyDescent="0.25">
      <c r="A175" s="363"/>
      <c r="B175" s="59" t="s">
        <v>731</v>
      </c>
      <c r="C175" s="51">
        <v>850</v>
      </c>
      <c r="D175" s="52">
        <v>899.47</v>
      </c>
      <c r="E175" s="52">
        <f>ROUND(D175,0)</f>
        <v>899</v>
      </c>
      <c r="F175" s="52">
        <f>E175*1.092</f>
        <v>981.70800000000008</v>
      </c>
      <c r="G175" s="53">
        <v>1080</v>
      </c>
      <c r="H175" s="53">
        <f t="shared" si="38"/>
        <v>1675.3462020741601</v>
      </c>
      <c r="I175" s="70">
        <v>1.0620000000000001</v>
      </c>
      <c r="J175" s="44">
        <f>K175*L175</f>
        <v>1577.5387966800001</v>
      </c>
      <c r="K175" s="70">
        <v>1.0640000000000001</v>
      </c>
      <c r="L175" s="44">
        <f t="shared" si="35"/>
        <v>1482.6492450000001</v>
      </c>
      <c r="M175" s="47">
        <v>1.07</v>
      </c>
      <c r="N175" s="44">
        <f t="shared" si="39"/>
        <v>1385.6534999999999</v>
      </c>
      <c r="O175" s="70">
        <v>1.075</v>
      </c>
      <c r="P175" s="44">
        <f t="shared" si="37"/>
        <v>1288.98</v>
      </c>
      <c r="Q175" s="70">
        <v>1.085</v>
      </c>
      <c r="R175" s="44">
        <f>S175</f>
        <v>1188</v>
      </c>
      <c r="S175" s="44">
        <f>G175*T175</f>
        <v>1188</v>
      </c>
      <c r="T175" s="50">
        <v>1.1000000000000001</v>
      </c>
      <c r="U175" s="44">
        <f>I175*V175</f>
        <v>1903.7629032649513</v>
      </c>
      <c r="V175" s="15">
        <f>H175*107%</f>
        <v>1792.6204362193514</v>
      </c>
      <c r="W175" s="260">
        <f>V175</f>
        <v>1792.6204362193514</v>
      </c>
      <c r="X175" s="132">
        <f>2299*106.5%</f>
        <v>2448.4349999999999</v>
      </c>
    </row>
    <row r="176" spans="1:24" s="17" customFormat="1" x14ac:dyDescent="0.25">
      <c r="A176" s="363"/>
      <c r="B176" s="80" t="s">
        <v>70</v>
      </c>
      <c r="C176" s="81"/>
      <c r="D176" s="81"/>
      <c r="E176" s="81"/>
      <c r="F176" s="81"/>
      <c r="G176" s="73">
        <v>1500</v>
      </c>
      <c r="H176" s="53">
        <f t="shared" si="38"/>
        <v>2115.3361137300003</v>
      </c>
      <c r="I176" s="70">
        <v>1.0620000000000001</v>
      </c>
      <c r="J176" s="44">
        <f>K176*L176</f>
        <v>1991.8419150000002</v>
      </c>
      <c r="K176" s="70">
        <v>1.0640000000000001</v>
      </c>
      <c r="L176" s="44">
        <f t="shared" si="35"/>
        <v>1872.0318750000001</v>
      </c>
      <c r="M176" s="47">
        <v>1.07</v>
      </c>
      <c r="N176" s="44">
        <f t="shared" si="39"/>
        <v>1749.5625</v>
      </c>
      <c r="O176" s="70">
        <v>1.075</v>
      </c>
      <c r="P176" s="44">
        <f t="shared" si="37"/>
        <v>1627.5</v>
      </c>
      <c r="Q176" s="70">
        <v>1.085</v>
      </c>
      <c r="R176" s="44">
        <f>S176</f>
        <v>1500</v>
      </c>
      <c r="S176" s="44">
        <v>1500</v>
      </c>
      <c r="T176" s="82"/>
      <c r="U176" s="44">
        <v>1501</v>
      </c>
      <c r="V176" s="15">
        <f>H176*107%</f>
        <v>2263.4096416911007</v>
      </c>
      <c r="W176" s="260">
        <f>V176</f>
        <v>2263.4096416911007</v>
      </c>
      <c r="X176" s="132">
        <f>2902*106.5%</f>
        <v>3090.6299999999997</v>
      </c>
    </row>
    <row r="177" spans="1:24" x14ac:dyDescent="0.25">
      <c r="A177" s="290" t="s">
        <v>226</v>
      </c>
      <c r="B177" s="177" t="s">
        <v>606</v>
      </c>
      <c r="C177" s="248">
        <v>95.2</v>
      </c>
      <c r="D177" s="210">
        <v>100.74064</v>
      </c>
      <c r="E177" s="210">
        <f>ROUND(D177,0)</f>
        <v>101</v>
      </c>
      <c r="F177" s="210">
        <f>E177*1.092</f>
        <v>110.292</v>
      </c>
      <c r="G177" s="211">
        <v>121</v>
      </c>
      <c r="H177" s="179">
        <f t="shared" si="38"/>
        <v>187.70082449164207</v>
      </c>
      <c r="I177" s="212">
        <v>1.0620000000000001</v>
      </c>
      <c r="J177" s="211">
        <f>K177*L177</f>
        <v>176.74277259100006</v>
      </c>
      <c r="K177" s="212">
        <v>1.0640000000000001</v>
      </c>
      <c r="L177" s="211">
        <f t="shared" si="35"/>
        <v>166.11162837500004</v>
      </c>
      <c r="M177" s="210">
        <v>1.07</v>
      </c>
      <c r="N177" s="211">
        <f t="shared" si="39"/>
        <v>155.24451250000001</v>
      </c>
      <c r="O177" s="212">
        <v>1.075</v>
      </c>
      <c r="P177" s="211">
        <f t="shared" si="37"/>
        <v>144.41350000000003</v>
      </c>
      <c r="Q177" s="212">
        <v>1.085</v>
      </c>
      <c r="R177" s="211">
        <f>S177</f>
        <v>133.10000000000002</v>
      </c>
      <c r="S177" s="211">
        <f>G177*T177</f>
        <v>133.10000000000002</v>
      </c>
      <c r="T177" s="213">
        <v>1.1000000000000001</v>
      </c>
      <c r="U177" s="211">
        <f>I177*V177</f>
        <v>213.29195490283257</v>
      </c>
      <c r="V177" s="15">
        <f>H177*107%</f>
        <v>200.83988220605701</v>
      </c>
      <c r="W177" s="261">
        <f>V177</f>
        <v>200.83988220605701</v>
      </c>
      <c r="X177" s="132">
        <f>259*106.5%</f>
        <v>275.83499999999998</v>
      </c>
    </row>
    <row r="178" spans="1:24" x14ac:dyDescent="0.25">
      <c r="A178" s="362" t="s">
        <v>227</v>
      </c>
      <c r="B178" s="348" t="s">
        <v>738</v>
      </c>
      <c r="C178" s="348"/>
      <c r="D178" s="348"/>
      <c r="E178" s="348"/>
      <c r="F178" s="348"/>
      <c r="G178" s="348"/>
      <c r="H178" s="348"/>
      <c r="I178" s="348"/>
      <c r="J178" s="348"/>
      <c r="K178" s="47"/>
      <c r="L178" s="44"/>
      <c r="M178" s="47"/>
      <c r="N178" s="44"/>
      <c r="O178" s="70"/>
      <c r="P178" s="44"/>
      <c r="Q178" s="70"/>
      <c r="R178" s="44"/>
      <c r="S178" s="44"/>
      <c r="T178" s="50"/>
      <c r="U178" s="44"/>
      <c r="V178" s="241"/>
      <c r="W178" s="264"/>
      <c r="X178" s="132"/>
    </row>
    <row r="179" spans="1:24" s="17" customFormat="1" x14ac:dyDescent="0.25">
      <c r="A179" s="363"/>
      <c r="B179" s="59" t="s">
        <v>728</v>
      </c>
      <c r="C179" s="51"/>
      <c r="D179" s="52"/>
      <c r="E179" s="52"/>
      <c r="F179" s="52"/>
      <c r="G179" s="53">
        <v>113</v>
      </c>
      <c r="H179" s="53">
        <f t="shared" si="38"/>
        <v>175.29085262442601</v>
      </c>
      <c r="I179" s="70">
        <v>1.0620000000000001</v>
      </c>
      <c r="J179" s="44">
        <f>K179*L179</f>
        <v>165.05730002300001</v>
      </c>
      <c r="K179" s="70">
        <v>1.0640000000000001</v>
      </c>
      <c r="L179" s="44">
        <f t="shared" si="35"/>
        <v>155.12904137500001</v>
      </c>
      <c r="M179" s="47">
        <v>1.07</v>
      </c>
      <c r="N179" s="44">
        <f t="shared" si="39"/>
        <v>144.9804125</v>
      </c>
      <c r="O179" s="70">
        <v>1.075</v>
      </c>
      <c r="P179" s="44">
        <f t="shared" si="37"/>
        <v>134.8655</v>
      </c>
      <c r="Q179" s="70">
        <v>1.085</v>
      </c>
      <c r="R179" s="44">
        <f>S179</f>
        <v>124.30000000000001</v>
      </c>
      <c r="S179" s="44">
        <f>G179*T179</f>
        <v>124.30000000000001</v>
      </c>
      <c r="T179" s="50">
        <v>1.1000000000000001</v>
      </c>
      <c r="U179" s="44">
        <f>I179*V179</f>
        <v>199.19000747124028</v>
      </c>
      <c r="V179" s="241">
        <f t="shared" ref="V179:V185" si="40">H179*107%</f>
        <v>187.56121230813585</v>
      </c>
      <c r="W179" s="260">
        <f t="shared" ref="W179:W185" si="41">V179</f>
        <v>187.56121230813585</v>
      </c>
      <c r="X179" s="132">
        <f>241*106.5%</f>
        <v>256.66499999999996</v>
      </c>
    </row>
    <row r="180" spans="1:24" s="17" customFormat="1" x14ac:dyDescent="0.25">
      <c r="A180" s="363"/>
      <c r="B180" s="59" t="s">
        <v>730</v>
      </c>
      <c r="C180" s="51">
        <v>261</v>
      </c>
      <c r="D180" s="52">
        <v>276.1902</v>
      </c>
      <c r="E180" s="52">
        <f>ROUND(D180,0)</f>
        <v>276</v>
      </c>
      <c r="F180" s="52">
        <f>E180*1.092</f>
        <v>301.392</v>
      </c>
      <c r="G180" s="53">
        <v>331</v>
      </c>
      <c r="H180" s="53">
        <f t="shared" si="38"/>
        <v>513.46258600606211</v>
      </c>
      <c r="I180" s="70">
        <v>1.0620000000000001</v>
      </c>
      <c r="J180" s="44">
        <f>K180*L180</f>
        <v>483.48642750100004</v>
      </c>
      <c r="K180" s="70">
        <v>1.0640000000000001</v>
      </c>
      <c r="L180" s="44">
        <f t="shared" si="35"/>
        <v>454.40453712499999</v>
      </c>
      <c r="M180" s="47">
        <v>1.07</v>
      </c>
      <c r="N180" s="44">
        <f t="shared" si="39"/>
        <v>424.67713749999996</v>
      </c>
      <c r="O180" s="70">
        <v>1.075</v>
      </c>
      <c r="P180" s="44">
        <f t="shared" si="37"/>
        <v>395.04849999999999</v>
      </c>
      <c r="Q180" s="70">
        <v>1.085</v>
      </c>
      <c r="R180" s="44">
        <f>S180</f>
        <v>364.1</v>
      </c>
      <c r="S180" s="44">
        <f>G180*T180</f>
        <v>364.1</v>
      </c>
      <c r="T180" s="50">
        <v>1.1000000000000001</v>
      </c>
      <c r="U180" s="44">
        <f>I180*V180</f>
        <v>583.46807498212866</v>
      </c>
      <c r="V180" s="241">
        <f t="shared" si="40"/>
        <v>549.40496702648647</v>
      </c>
      <c r="W180" s="260">
        <f t="shared" si="41"/>
        <v>549.40496702648647</v>
      </c>
      <c r="X180" s="132">
        <f>703*106.5%</f>
        <v>748.69499999999994</v>
      </c>
    </row>
    <row r="181" spans="1:24" s="17" customFormat="1" x14ac:dyDescent="0.25">
      <c r="A181" s="363"/>
      <c r="B181" s="59" t="s">
        <v>731</v>
      </c>
      <c r="C181" s="51">
        <v>640</v>
      </c>
      <c r="D181" s="52">
        <v>677.24800000000005</v>
      </c>
      <c r="E181" s="52">
        <f>ROUND(D181,0)</f>
        <v>677</v>
      </c>
      <c r="F181" s="52">
        <f>E181*1.092</f>
        <v>739.28400000000011</v>
      </c>
      <c r="G181" s="53">
        <v>815</v>
      </c>
      <c r="H181" s="53">
        <f t="shared" si="38"/>
        <v>1264.26588397263</v>
      </c>
      <c r="I181" s="70">
        <v>1.0620000000000001</v>
      </c>
      <c r="J181" s="44">
        <f>K181*L181</f>
        <v>1190.457517865</v>
      </c>
      <c r="K181" s="70">
        <v>1.0640000000000001</v>
      </c>
      <c r="L181" s="44">
        <f t="shared" si="35"/>
        <v>1118.851050625</v>
      </c>
      <c r="M181" s="47">
        <v>1.07</v>
      </c>
      <c r="N181" s="44">
        <f t="shared" si="39"/>
        <v>1045.6551875</v>
      </c>
      <c r="O181" s="70">
        <v>1.075</v>
      </c>
      <c r="P181" s="44">
        <f t="shared" si="37"/>
        <v>972.7025000000001</v>
      </c>
      <c r="Q181" s="70">
        <v>1.085</v>
      </c>
      <c r="R181" s="44">
        <f>S181</f>
        <v>896.50000000000011</v>
      </c>
      <c r="S181" s="44">
        <f>G181*T181</f>
        <v>896.50000000000011</v>
      </c>
      <c r="T181" s="50">
        <v>1.1000000000000001</v>
      </c>
      <c r="U181" s="44">
        <f>I181*V181</f>
        <v>1436.6358945934585</v>
      </c>
      <c r="V181" s="241">
        <f t="shared" si="40"/>
        <v>1352.7644958507142</v>
      </c>
      <c r="W181" s="260">
        <f t="shared" si="41"/>
        <v>1352.7644958507142</v>
      </c>
      <c r="X181" s="132">
        <f>1734*106.5%</f>
        <v>1846.7099999999998</v>
      </c>
    </row>
    <row r="182" spans="1:24" x14ac:dyDescent="0.25">
      <c r="A182" s="231" t="s">
        <v>232</v>
      </c>
      <c r="B182" s="250" t="s">
        <v>271</v>
      </c>
      <c r="C182" s="251">
        <v>547</v>
      </c>
      <c r="D182" s="216">
        <v>578.83540000000005</v>
      </c>
      <c r="E182" s="216">
        <f>ROUND(D182,0)</f>
        <v>579</v>
      </c>
      <c r="F182" s="216">
        <f>E182*1.092</f>
        <v>632.26800000000003</v>
      </c>
      <c r="G182" s="217">
        <v>695</v>
      </c>
      <c r="H182" s="235">
        <f t="shared" si="38"/>
        <v>1078.1163059643902</v>
      </c>
      <c r="I182" s="219">
        <v>1.0620000000000001</v>
      </c>
      <c r="J182" s="217">
        <f>K182*L182</f>
        <v>1015.1754293450001</v>
      </c>
      <c r="K182" s="219">
        <v>1.0640000000000001</v>
      </c>
      <c r="L182" s="217">
        <f t="shared" si="35"/>
        <v>954.11224562500001</v>
      </c>
      <c r="M182" s="216">
        <v>1.07</v>
      </c>
      <c r="N182" s="217">
        <f t="shared" si="39"/>
        <v>891.69368750000001</v>
      </c>
      <c r="O182" s="219">
        <v>1.075</v>
      </c>
      <c r="P182" s="217">
        <f t="shared" si="37"/>
        <v>829.48250000000007</v>
      </c>
      <c r="Q182" s="219">
        <v>1.085</v>
      </c>
      <c r="R182" s="217">
        <f>S182</f>
        <v>764.50000000000011</v>
      </c>
      <c r="S182" s="217">
        <f>G182*T182</f>
        <v>764.50000000000011</v>
      </c>
      <c r="T182" s="220">
        <v>1.1000000000000001</v>
      </c>
      <c r="U182" s="217">
        <f>I182*V182</f>
        <v>1225.1066831195753</v>
      </c>
      <c r="V182" s="15">
        <f t="shared" si="40"/>
        <v>1153.5844473818977</v>
      </c>
      <c r="W182" s="263">
        <f t="shared" si="41"/>
        <v>1153.5844473818977</v>
      </c>
      <c r="X182" s="132">
        <f>1480*106.5%</f>
        <v>1576.1999999999998</v>
      </c>
    </row>
    <row r="183" spans="1:24" x14ac:dyDescent="0.25">
      <c r="A183" s="362" t="s">
        <v>93</v>
      </c>
      <c r="B183" s="356" t="s">
        <v>969</v>
      </c>
      <c r="C183" s="357"/>
      <c r="D183" s="357"/>
      <c r="E183" s="357"/>
      <c r="F183" s="357"/>
      <c r="G183" s="357"/>
      <c r="H183" s="357"/>
      <c r="I183" s="357"/>
      <c r="J183" s="358"/>
      <c r="K183" s="47"/>
      <c r="L183" s="44"/>
      <c r="M183" s="47"/>
      <c r="N183" s="44"/>
      <c r="O183" s="70"/>
      <c r="P183" s="44"/>
      <c r="Q183" s="70"/>
      <c r="R183" s="44"/>
      <c r="S183" s="44"/>
      <c r="T183" s="50"/>
      <c r="U183" s="44"/>
      <c r="V183" s="15"/>
      <c r="X183" s="132"/>
    </row>
    <row r="184" spans="1:24" s="17" customFormat="1" x14ac:dyDescent="0.25">
      <c r="A184" s="363"/>
      <c r="B184" s="59" t="s">
        <v>730</v>
      </c>
      <c r="C184" s="51"/>
      <c r="D184" s="52"/>
      <c r="E184" s="52"/>
      <c r="F184" s="52"/>
      <c r="G184" s="53">
        <v>389</v>
      </c>
      <c r="H184" s="53">
        <f t="shared" si="38"/>
        <v>603.43488204337802</v>
      </c>
      <c r="I184" s="70">
        <v>1.0620000000000001</v>
      </c>
      <c r="J184" s="44">
        <f>K184*L184</f>
        <v>568.20610361900003</v>
      </c>
      <c r="K184" s="70">
        <v>1.0640000000000001</v>
      </c>
      <c r="L184" s="44">
        <f t="shared" si="35"/>
        <v>534.02829287500003</v>
      </c>
      <c r="M184" s="47">
        <v>1.07</v>
      </c>
      <c r="N184" s="44">
        <f t="shared" si="39"/>
        <v>499.09186249999999</v>
      </c>
      <c r="O184" s="70">
        <v>1.075</v>
      </c>
      <c r="P184" s="44">
        <f t="shared" si="37"/>
        <v>464.2715</v>
      </c>
      <c r="Q184" s="70">
        <v>1.085</v>
      </c>
      <c r="R184" s="44">
        <f>S184</f>
        <v>427.90000000000003</v>
      </c>
      <c r="S184" s="44">
        <f>G184*T184</f>
        <v>427.90000000000003</v>
      </c>
      <c r="T184" s="50">
        <v>1.1000000000000001</v>
      </c>
      <c r="U184" s="44">
        <f>I184*V184</f>
        <v>685.7071938611723</v>
      </c>
      <c r="V184" s="15">
        <f t="shared" si="40"/>
        <v>645.67532378641454</v>
      </c>
      <c r="W184" s="260">
        <f t="shared" si="41"/>
        <v>645.67532378641454</v>
      </c>
      <c r="X184" s="132">
        <f>828*106.5%</f>
        <v>881.81999999999994</v>
      </c>
    </row>
    <row r="185" spans="1:24" s="17" customFormat="1" x14ac:dyDescent="0.25">
      <c r="A185" s="363"/>
      <c r="B185" s="59" t="s">
        <v>731</v>
      </c>
      <c r="C185" s="51">
        <v>547</v>
      </c>
      <c r="D185" s="52">
        <v>578.83540000000005</v>
      </c>
      <c r="E185" s="52">
        <f>ROUND(D185,0)</f>
        <v>579</v>
      </c>
      <c r="F185" s="52">
        <f>E185*1.092</f>
        <v>632.26800000000003</v>
      </c>
      <c r="G185" s="53">
        <v>695</v>
      </c>
      <c r="H185" s="53">
        <f t="shared" si="38"/>
        <v>1078.1163059643902</v>
      </c>
      <c r="I185" s="70">
        <v>1.0620000000000001</v>
      </c>
      <c r="J185" s="44">
        <f>K185*L185</f>
        <v>1015.1754293450001</v>
      </c>
      <c r="K185" s="70">
        <v>1.0640000000000001</v>
      </c>
      <c r="L185" s="44">
        <f t="shared" si="35"/>
        <v>954.11224562500001</v>
      </c>
      <c r="M185" s="47">
        <v>1.07</v>
      </c>
      <c r="N185" s="44">
        <f t="shared" si="39"/>
        <v>891.69368750000001</v>
      </c>
      <c r="O185" s="70">
        <v>1.075</v>
      </c>
      <c r="P185" s="44">
        <f t="shared" si="37"/>
        <v>829.48250000000007</v>
      </c>
      <c r="Q185" s="70">
        <v>1.085</v>
      </c>
      <c r="R185" s="44">
        <f>S185</f>
        <v>764.50000000000011</v>
      </c>
      <c r="S185" s="44">
        <f>G185*T185</f>
        <v>764.50000000000011</v>
      </c>
      <c r="T185" s="50">
        <v>1.1000000000000001</v>
      </c>
      <c r="U185" s="44">
        <f>I185*V185</f>
        <v>1225.1066831195753</v>
      </c>
      <c r="V185" s="15">
        <f t="shared" si="40"/>
        <v>1153.5844473818977</v>
      </c>
      <c r="W185" s="260">
        <f t="shared" si="41"/>
        <v>1153.5844473818977</v>
      </c>
      <c r="X185" s="132">
        <f>1480*106.5%</f>
        <v>1576.1999999999998</v>
      </c>
    </row>
    <row r="186" spans="1:24" s="17" customFormat="1" x14ac:dyDescent="0.25">
      <c r="A186" s="284" t="s">
        <v>959</v>
      </c>
      <c r="B186" s="356" t="s">
        <v>960</v>
      </c>
      <c r="C186" s="357"/>
      <c r="D186" s="357"/>
      <c r="E186" s="357"/>
      <c r="F186" s="357"/>
      <c r="G186" s="357"/>
      <c r="H186" s="357"/>
      <c r="I186" s="357"/>
      <c r="J186" s="358"/>
      <c r="K186" s="70"/>
      <c r="L186" s="44"/>
      <c r="M186" s="47"/>
      <c r="N186" s="44"/>
      <c r="O186" s="70"/>
      <c r="P186" s="44"/>
      <c r="Q186" s="70"/>
      <c r="R186" s="44"/>
      <c r="S186" s="44"/>
      <c r="T186" s="50"/>
      <c r="U186" s="44"/>
      <c r="V186" s="15"/>
      <c r="W186" s="30"/>
      <c r="X186" s="132"/>
    </row>
    <row r="187" spans="1:24" s="17" customFormat="1" x14ac:dyDescent="0.25">
      <c r="A187" s="284"/>
      <c r="B187" s="59" t="s">
        <v>730</v>
      </c>
      <c r="C187" s="320"/>
      <c r="D187" s="321"/>
      <c r="E187" s="321"/>
      <c r="F187" s="321"/>
      <c r="G187" s="322"/>
      <c r="H187" s="322"/>
      <c r="I187" s="318"/>
      <c r="J187" s="305"/>
      <c r="K187" s="70"/>
      <c r="L187" s="44"/>
      <c r="M187" s="47"/>
      <c r="N187" s="44"/>
      <c r="O187" s="70"/>
      <c r="P187" s="44"/>
      <c r="Q187" s="70"/>
      <c r="R187" s="44"/>
      <c r="S187" s="44"/>
      <c r="T187" s="50"/>
      <c r="U187" s="44"/>
      <c r="V187" s="15"/>
      <c r="W187" s="30"/>
      <c r="X187" s="132">
        <f>1656*106.5%</f>
        <v>1763.6399999999999</v>
      </c>
    </row>
    <row r="188" spans="1:24" s="17" customFormat="1" x14ac:dyDescent="0.25">
      <c r="A188" s="284"/>
      <c r="B188" s="59" t="s">
        <v>731</v>
      </c>
      <c r="C188" s="320"/>
      <c r="D188" s="321"/>
      <c r="E188" s="321"/>
      <c r="F188" s="321"/>
      <c r="G188" s="322"/>
      <c r="H188" s="322"/>
      <c r="I188" s="318"/>
      <c r="J188" s="305"/>
      <c r="K188" s="70"/>
      <c r="L188" s="44"/>
      <c r="M188" s="47"/>
      <c r="N188" s="44"/>
      <c r="O188" s="70"/>
      <c r="P188" s="44"/>
      <c r="Q188" s="70"/>
      <c r="R188" s="44"/>
      <c r="S188" s="44"/>
      <c r="T188" s="50"/>
      <c r="U188" s="44"/>
      <c r="V188" s="15"/>
      <c r="W188" s="30"/>
      <c r="X188" s="132">
        <f>2959*106.5%</f>
        <v>3151.335</v>
      </c>
    </row>
    <row r="189" spans="1:24" x14ac:dyDescent="0.25">
      <c r="A189" s="362" t="s">
        <v>94</v>
      </c>
      <c r="B189" s="356" t="s">
        <v>739</v>
      </c>
      <c r="C189" s="357"/>
      <c r="D189" s="357"/>
      <c r="E189" s="357"/>
      <c r="F189" s="357"/>
      <c r="G189" s="357"/>
      <c r="H189" s="357"/>
      <c r="I189" s="357"/>
      <c r="J189" s="358"/>
      <c r="K189" s="47"/>
      <c r="L189" s="44"/>
      <c r="M189" s="47"/>
      <c r="N189" s="44"/>
      <c r="O189" s="70"/>
      <c r="P189" s="44"/>
      <c r="Q189" s="70"/>
      <c r="R189" s="44"/>
      <c r="S189" s="44"/>
      <c r="T189" s="50"/>
      <c r="U189" s="44"/>
      <c r="V189" s="15"/>
      <c r="X189" s="132"/>
    </row>
    <row r="190" spans="1:24" s="17" customFormat="1" x14ac:dyDescent="0.25">
      <c r="A190" s="363"/>
      <c r="B190" s="59" t="s">
        <v>730</v>
      </c>
      <c r="C190" s="51"/>
      <c r="D190" s="52"/>
      <c r="E190" s="52"/>
      <c r="F190" s="52"/>
      <c r="G190" s="53">
        <v>374</v>
      </c>
      <c r="H190" s="53">
        <f t="shared" si="38"/>
        <v>580.16618479234808</v>
      </c>
      <c r="I190" s="70">
        <v>1.0620000000000001</v>
      </c>
      <c r="J190" s="44">
        <f>K190*L190</f>
        <v>546.29584255400005</v>
      </c>
      <c r="K190" s="70">
        <v>1.0640000000000001</v>
      </c>
      <c r="L190" s="44">
        <f t="shared" si="35"/>
        <v>513.43594225000004</v>
      </c>
      <c r="M190" s="47">
        <v>1.07</v>
      </c>
      <c r="N190" s="44">
        <f t="shared" si="39"/>
        <v>479.846675</v>
      </c>
      <c r="O190" s="70">
        <v>1.075</v>
      </c>
      <c r="P190" s="44">
        <f t="shared" si="37"/>
        <v>446.36900000000003</v>
      </c>
      <c r="Q190" s="70">
        <v>1.085</v>
      </c>
      <c r="R190" s="44">
        <f>S190</f>
        <v>411.40000000000003</v>
      </c>
      <c r="S190" s="44">
        <f>G190*T190</f>
        <v>411.40000000000003</v>
      </c>
      <c r="T190" s="50">
        <v>1.1000000000000001</v>
      </c>
      <c r="U190" s="44">
        <f>I190*V190</f>
        <v>659.26604242693691</v>
      </c>
      <c r="V190" s="15">
        <f>H190*107%</f>
        <v>620.77781772781248</v>
      </c>
      <c r="W190" s="260">
        <f>V190</f>
        <v>620.77781772781248</v>
      </c>
      <c r="X190" s="132">
        <f>796*106.5%</f>
        <v>847.74</v>
      </c>
    </row>
    <row r="191" spans="1:24" s="17" customFormat="1" x14ac:dyDescent="0.25">
      <c r="A191" s="363"/>
      <c r="B191" s="59" t="s">
        <v>731</v>
      </c>
      <c r="C191" s="51">
        <v>508</v>
      </c>
      <c r="D191" s="52">
        <v>537.56560000000002</v>
      </c>
      <c r="E191" s="52">
        <f>ROUND(D191,0)</f>
        <v>538</v>
      </c>
      <c r="F191" s="52">
        <f>E191*1.092</f>
        <v>587.49600000000009</v>
      </c>
      <c r="G191" s="53">
        <v>646</v>
      </c>
      <c r="H191" s="53">
        <f t="shared" si="38"/>
        <v>1002.1052282776922</v>
      </c>
      <c r="I191" s="70">
        <v>1.0620000000000001</v>
      </c>
      <c r="J191" s="44">
        <f>K191*L191</f>
        <v>943.60190986600014</v>
      </c>
      <c r="K191" s="70">
        <v>1.0640000000000001</v>
      </c>
      <c r="L191" s="44">
        <f t="shared" si="35"/>
        <v>886.84390025000005</v>
      </c>
      <c r="M191" s="47">
        <v>1.07</v>
      </c>
      <c r="N191" s="44">
        <f t="shared" si="39"/>
        <v>828.82607499999995</v>
      </c>
      <c r="O191" s="70">
        <v>1.075</v>
      </c>
      <c r="P191" s="44">
        <f t="shared" si="37"/>
        <v>771.00099999999998</v>
      </c>
      <c r="Q191" s="70">
        <v>1.085</v>
      </c>
      <c r="R191" s="44">
        <f>S191</f>
        <v>710.6</v>
      </c>
      <c r="S191" s="44">
        <f>G191*T191</f>
        <v>710.6</v>
      </c>
      <c r="T191" s="50">
        <v>1.1000000000000001</v>
      </c>
      <c r="U191" s="44">
        <f>I191*V191</f>
        <v>1138.7322551010727</v>
      </c>
      <c r="V191" s="15">
        <f>H191*107%</f>
        <v>1072.2525942571306</v>
      </c>
      <c r="W191" s="260">
        <f>V191</f>
        <v>1072.2525942571306</v>
      </c>
      <c r="X191" s="132">
        <f>1376*106.5%</f>
        <v>1465.4399999999998</v>
      </c>
    </row>
    <row r="192" spans="1:24" x14ac:dyDescent="0.25">
      <c r="A192" s="362" t="s">
        <v>95</v>
      </c>
      <c r="B192" s="356" t="s">
        <v>760</v>
      </c>
      <c r="C192" s="357"/>
      <c r="D192" s="357"/>
      <c r="E192" s="357"/>
      <c r="F192" s="357"/>
      <c r="G192" s="357"/>
      <c r="H192" s="357"/>
      <c r="I192" s="357"/>
      <c r="J192" s="358"/>
      <c r="K192" s="47"/>
      <c r="L192" s="44"/>
      <c r="M192" s="47"/>
      <c r="N192" s="44"/>
      <c r="O192" s="70"/>
      <c r="P192" s="44"/>
      <c r="Q192" s="70"/>
      <c r="R192" s="44"/>
      <c r="S192" s="44"/>
      <c r="T192" s="50"/>
      <c r="U192" s="44"/>
      <c r="V192" s="15"/>
      <c r="X192" s="132"/>
    </row>
    <row r="193" spans="1:24" s="17" customFormat="1" x14ac:dyDescent="0.25">
      <c r="A193" s="363"/>
      <c r="B193" s="59" t="s">
        <v>757</v>
      </c>
      <c r="C193" s="51"/>
      <c r="D193" s="52"/>
      <c r="E193" s="52"/>
      <c r="F193" s="52"/>
      <c r="G193" s="53">
        <v>121</v>
      </c>
      <c r="H193" s="53">
        <f t="shared" si="38"/>
        <v>187.70082449164207</v>
      </c>
      <c r="I193" s="70">
        <v>1.0620000000000001</v>
      </c>
      <c r="J193" s="44">
        <f>K193*L193</f>
        <v>176.74277259100006</v>
      </c>
      <c r="K193" s="70">
        <v>1.0640000000000001</v>
      </c>
      <c r="L193" s="44">
        <f t="shared" si="35"/>
        <v>166.11162837500004</v>
      </c>
      <c r="M193" s="47">
        <v>1.07</v>
      </c>
      <c r="N193" s="44">
        <f t="shared" si="39"/>
        <v>155.24451250000001</v>
      </c>
      <c r="O193" s="70">
        <v>1.075</v>
      </c>
      <c r="P193" s="44">
        <f t="shared" si="37"/>
        <v>144.41350000000003</v>
      </c>
      <c r="Q193" s="70">
        <v>1.085</v>
      </c>
      <c r="R193" s="44">
        <f>S193</f>
        <v>133.10000000000002</v>
      </c>
      <c r="S193" s="44">
        <f>G193*T193</f>
        <v>133.10000000000002</v>
      </c>
      <c r="T193" s="50">
        <v>1.1000000000000001</v>
      </c>
      <c r="U193" s="44">
        <f>I193*V193</f>
        <v>213.29195490283257</v>
      </c>
      <c r="V193" s="15">
        <f>H193*107%</f>
        <v>200.83988220605701</v>
      </c>
      <c r="W193" s="260">
        <f>V193</f>
        <v>200.83988220605701</v>
      </c>
      <c r="X193" s="132">
        <f>259*106.5%</f>
        <v>275.83499999999998</v>
      </c>
    </row>
    <row r="194" spans="1:24" s="17" customFormat="1" x14ac:dyDescent="0.25">
      <c r="A194" s="363"/>
      <c r="B194" s="59" t="s">
        <v>758</v>
      </c>
      <c r="C194" s="51">
        <v>310</v>
      </c>
      <c r="D194" s="52">
        <v>328.04200000000003</v>
      </c>
      <c r="E194" s="52">
        <f>ROUND(D194,0)</f>
        <v>328</v>
      </c>
      <c r="F194" s="52">
        <f>E194*1.092</f>
        <v>358.17600000000004</v>
      </c>
      <c r="G194" s="53">
        <v>394</v>
      </c>
      <c r="H194" s="53">
        <f t="shared" si="38"/>
        <v>611.19111446038812</v>
      </c>
      <c r="I194" s="70">
        <v>1.0620000000000001</v>
      </c>
      <c r="J194" s="44">
        <f>K194*L194</f>
        <v>575.5095239740001</v>
      </c>
      <c r="K194" s="70">
        <v>1.0640000000000001</v>
      </c>
      <c r="L194" s="44">
        <f t="shared" si="35"/>
        <v>540.89240975000007</v>
      </c>
      <c r="M194" s="47">
        <v>1.07</v>
      </c>
      <c r="N194" s="44">
        <f t="shared" si="39"/>
        <v>505.50692500000002</v>
      </c>
      <c r="O194" s="70">
        <v>1.075</v>
      </c>
      <c r="P194" s="44">
        <f t="shared" si="37"/>
        <v>470.23900000000003</v>
      </c>
      <c r="Q194" s="70">
        <v>1.085</v>
      </c>
      <c r="R194" s="44">
        <f>S194</f>
        <v>433.40000000000003</v>
      </c>
      <c r="S194" s="44">
        <f>G194*T194</f>
        <v>433.40000000000003</v>
      </c>
      <c r="T194" s="50">
        <v>1.1000000000000001</v>
      </c>
      <c r="U194" s="44">
        <f>I194*V194</f>
        <v>694.52091100591747</v>
      </c>
      <c r="V194" s="15">
        <f>H194*107%</f>
        <v>653.97449247261534</v>
      </c>
      <c r="W194" s="260">
        <f>V194</f>
        <v>653.97449247261534</v>
      </c>
      <c r="X194" s="132">
        <f>838*106.5%</f>
        <v>892.46999999999991</v>
      </c>
    </row>
    <row r="195" spans="1:24" s="17" customFormat="1" x14ac:dyDescent="0.25">
      <c r="A195" s="363"/>
      <c r="B195" s="59" t="s">
        <v>759</v>
      </c>
      <c r="C195" s="51">
        <v>686</v>
      </c>
      <c r="D195" s="52">
        <v>725.92520000000002</v>
      </c>
      <c r="E195" s="52">
        <f>ROUND(D195,0)</f>
        <v>726</v>
      </c>
      <c r="F195" s="52">
        <f>E195*1.092</f>
        <v>792.79200000000003</v>
      </c>
      <c r="G195" s="53">
        <v>872</v>
      </c>
      <c r="H195" s="53">
        <f t="shared" si="38"/>
        <v>1352.6869335265437</v>
      </c>
      <c r="I195" s="70">
        <v>1.0620000000000001</v>
      </c>
      <c r="J195" s="44">
        <f>K195*L195</f>
        <v>1273.7165099119998</v>
      </c>
      <c r="K195" s="70">
        <v>1.0640000000000001</v>
      </c>
      <c r="L195" s="44">
        <f t="shared" si="35"/>
        <v>1197.1019829999998</v>
      </c>
      <c r="M195" s="47">
        <v>1.07</v>
      </c>
      <c r="N195" s="44">
        <f>O195*P195</f>
        <v>1118.7868999999998</v>
      </c>
      <c r="O195" s="70">
        <v>1.075</v>
      </c>
      <c r="P195" s="44">
        <f t="shared" si="37"/>
        <v>1040.732</v>
      </c>
      <c r="Q195" s="70">
        <v>1.085</v>
      </c>
      <c r="R195" s="44">
        <f>S195</f>
        <v>959.2</v>
      </c>
      <c r="S195" s="44">
        <f>G195*T195</f>
        <v>959.2</v>
      </c>
      <c r="T195" s="50">
        <v>1.1000000000000001</v>
      </c>
      <c r="U195" s="44">
        <f>I195*V195</f>
        <v>1537.1122700435528</v>
      </c>
      <c r="V195" s="15">
        <f>H195*107%</f>
        <v>1447.3750188734018</v>
      </c>
      <c r="W195" s="260">
        <f>V195</f>
        <v>1447.3750188734018</v>
      </c>
      <c r="X195" s="132">
        <f>1857*106.5%</f>
        <v>1977.7049999999999</v>
      </c>
    </row>
    <row r="196" spans="1:24" s="17" customFormat="1" x14ac:dyDescent="0.25">
      <c r="A196" s="362" t="s">
        <v>96</v>
      </c>
      <c r="B196" s="369" t="s">
        <v>379</v>
      </c>
      <c r="C196" s="370"/>
      <c r="D196" s="370"/>
      <c r="E196" s="370"/>
      <c r="F196" s="370"/>
      <c r="G196" s="370"/>
      <c r="H196" s="370"/>
      <c r="I196" s="370"/>
      <c r="J196" s="371"/>
      <c r="K196" s="47"/>
      <c r="L196" s="44"/>
      <c r="M196" s="47"/>
      <c r="N196" s="44"/>
      <c r="O196" s="70"/>
      <c r="P196" s="44"/>
      <c r="Q196" s="70"/>
      <c r="R196" s="44"/>
      <c r="S196" s="53"/>
      <c r="T196" s="50"/>
      <c r="U196" s="53"/>
      <c r="V196" s="21"/>
      <c r="X196" s="132"/>
    </row>
    <row r="197" spans="1:24" s="17" customFormat="1" x14ac:dyDescent="0.25">
      <c r="A197" s="363"/>
      <c r="B197" s="59" t="s">
        <v>740</v>
      </c>
      <c r="C197" s="51"/>
      <c r="D197" s="52"/>
      <c r="E197" s="52"/>
      <c r="F197" s="52"/>
      <c r="G197" s="53">
        <v>39</v>
      </c>
      <c r="H197" s="53">
        <f t="shared" si="38"/>
        <v>60.498612852678008</v>
      </c>
      <c r="I197" s="70">
        <v>1.0620000000000001</v>
      </c>
      <c r="J197" s="44">
        <f t="shared" ref="J197:J203" si="42">K197*L197</f>
        <v>56.966678769000005</v>
      </c>
      <c r="K197" s="70">
        <v>1.0640000000000001</v>
      </c>
      <c r="L197" s="44">
        <f t="shared" si="35"/>
        <v>53.540111625000002</v>
      </c>
      <c r="M197" s="47">
        <v>1.07</v>
      </c>
      <c r="N197" s="44">
        <f t="shared" ref="N197:N215" si="43">O197*P197</f>
        <v>50.037487499999997</v>
      </c>
      <c r="O197" s="70">
        <v>1.075</v>
      </c>
      <c r="P197" s="44">
        <f t="shared" si="37"/>
        <v>46.546500000000002</v>
      </c>
      <c r="Q197" s="70">
        <v>1.085</v>
      </c>
      <c r="R197" s="44">
        <f t="shared" ref="R197:R203" si="44">S197</f>
        <v>42.900000000000006</v>
      </c>
      <c r="S197" s="44">
        <f t="shared" ref="S197:U203" si="45">G197*T197</f>
        <v>42.900000000000006</v>
      </c>
      <c r="T197" s="50">
        <v>1.1000000000000001</v>
      </c>
      <c r="U197" s="44">
        <f t="shared" si="45"/>
        <v>68.746993729012146</v>
      </c>
      <c r="V197" s="15">
        <f t="shared" ref="V197:V203" si="46">H197*107%</f>
        <v>64.733515752365477</v>
      </c>
      <c r="W197" s="260">
        <f t="shared" ref="W197:W203" si="47">V197</f>
        <v>64.733515752365477</v>
      </c>
      <c r="X197" s="132">
        <f>84*106.5%</f>
        <v>89.46</v>
      </c>
    </row>
    <row r="198" spans="1:24" s="17" customFormat="1" x14ac:dyDescent="0.25">
      <c r="A198" s="363"/>
      <c r="B198" s="59" t="s">
        <v>741</v>
      </c>
      <c r="C198" s="51">
        <v>30</v>
      </c>
      <c r="D198" s="52">
        <v>31.746000000000002</v>
      </c>
      <c r="E198" s="52">
        <f>ROUND(D198,0)</f>
        <v>32</v>
      </c>
      <c r="F198" s="52">
        <f>E198*1.092</f>
        <v>34.944000000000003</v>
      </c>
      <c r="G198" s="53">
        <v>39</v>
      </c>
      <c r="H198" s="53">
        <f t="shared" si="38"/>
        <v>60.498612852678008</v>
      </c>
      <c r="I198" s="70">
        <v>1.0620000000000001</v>
      </c>
      <c r="J198" s="44">
        <f t="shared" si="42"/>
        <v>56.966678769000005</v>
      </c>
      <c r="K198" s="70">
        <v>1.0640000000000001</v>
      </c>
      <c r="L198" s="44">
        <f t="shared" si="35"/>
        <v>53.540111625000002</v>
      </c>
      <c r="M198" s="47">
        <v>1.07</v>
      </c>
      <c r="N198" s="44">
        <f t="shared" si="43"/>
        <v>50.037487499999997</v>
      </c>
      <c r="O198" s="70">
        <v>1.075</v>
      </c>
      <c r="P198" s="44">
        <f t="shared" si="37"/>
        <v>46.546500000000002</v>
      </c>
      <c r="Q198" s="70">
        <v>1.085</v>
      </c>
      <c r="R198" s="44">
        <f t="shared" si="44"/>
        <v>42.900000000000006</v>
      </c>
      <c r="S198" s="44">
        <f t="shared" si="45"/>
        <v>42.900000000000006</v>
      </c>
      <c r="T198" s="50">
        <v>1.1000000000000001</v>
      </c>
      <c r="U198" s="44">
        <f t="shared" si="45"/>
        <v>68.746993729012146</v>
      </c>
      <c r="V198" s="15">
        <f t="shared" si="46"/>
        <v>64.733515752365477</v>
      </c>
      <c r="W198" s="260">
        <f t="shared" si="47"/>
        <v>64.733515752365477</v>
      </c>
      <c r="X198" s="132">
        <f>84*106.5%</f>
        <v>89.46</v>
      </c>
    </row>
    <row r="199" spans="1:24" s="17" customFormat="1" x14ac:dyDescent="0.25">
      <c r="A199" s="363"/>
      <c r="B199" s="59" t="s">
        <v>728</v>
      </c>
      <c r="C199" s="51">
        <v>60.3</v>
      </c>
      <c r="D199" s="52">
        <v>63.809460000000001</v>
      </c>
      <c r="E199" s="52">
        <f>ROUND(D199,0)</f>
        <v>64</v>
      </c>
      <c r="F199" s="52">
        <f>E199*1.092</f>
        <v>69.888000000000005</v>
      </c>
      <c r="G199" s="53">
        <v>77</v>
      </c>
      <c r="H199" s="53">
        <f t="shared" si="38"/>
        <v>119.44597922195402</v>
      </c>
      <c r="I199" s="70">
        <v>1.0620000000000001</v>
      </c>
      <c r="J199" s="44">
        <f t="shared" si="42"/>
        <v>112.47267346700001</v>
      </c>
      <c r="K199" s="70">
        <v>1.0640000000000001</v>
      </c>
      <c r="L199" s="44">
        <f t="shared" si="35"/>
        <v>105.70739987500001</v>
      </c>
      <c r="M199" s="47">
        <v>1.07</v>
      </c>
      <c r="N199" s="44">
        <f t="shared" si="43"/>
        <v>98.791962499999997</v>
      </c>
      <c r="O199" s="70">
        <v>1.075</v>
      </c>
      <c r="P199" s="44">
        <f t="shared" si="37"/>
        <v>91.899500000000003</v>
      </c>
      <c r="Q199" s="70">
        <v>1.085</v>
      </c>
      <c r="R199" s="44">
        <f t="shared" si="44"/>
        <v>84.7</v>
      </c>
      <c r="S199" s="44">
        <f t="shared" si="45"/>
        <v>84.7</v>
      </c>
      <c r="T199" s="50">
        <v>1.1000000000000001</v>
      </c>
      <c r="U199" s="44">
        <f t="shared" si="45"/>
        <v>135.73124402907524</v>
      </c>
      <c r="V199" s="15">
        <f t="shared" si="46"/>
        <v>127.80719776749081</v>
      </c>
      <c r="W199" s="260">
        <f t="shared" si="47"/>
        <v>127.80719776749081</v>
      </c>
      <c r="X199" s="132">
        <f>164*106.5%</f>
        <v>174.66</v>
      </c>
    </row>
    <row r="200" spans="1:24" s="17" customFormat="1" x14ac:dyDescent="0.25">
      <c r="A200" s="363"/>
      <c r="B200" s="59" t="s">
        <v>729</v>
      </c>
      <c r="C200" s="51">
        <v>106</v>
      </c>
      <c r="D200" s="52">
        <v>112.1692</v>
      </c>
      <c r="E200" s="52">
        <f>ROUND(D200,0)</f>
        <v>112</v>
      </c>
      <c r="F200" s="52">
        <f>E200*1.092</f>
        <v>122.304</v>
      </c>
      <c r="G200" s="53">
        <v>134</v>
      </c>
      <c r="H200" s="53">
        <f t="shared" si="38"/>
        <v>207.86702877586802</v>
      </c>
      <c r="I200" s="70">
        <v>1.0620000000000001</v>
      </c>
      <c r="J200" s="44">
        <f t="shared" si="42"/>
        <v>195.73166551400001</v>
      </c>
      <c r="K200" s="70">
        <v>1.0640000000000001</v>
      </c>
      <c r="L200" s="44">
        <f t="shared" si="35"/>
        <v>183.95833225000001</v>
      </c>
      <c r="M200" s="47">
        <v>1.07</v>
      </c>
      <c r="N200" s="44">
        <f t="shared" si="43"/>
        <v>171.923675</v>
      </c>
      <c r="O200" s="70">
        <v>1.075</v>
      </c>
      <c r="P200" s="44">
        <f t="shared" si="37"/>
        <v>159.929</v>
      </c>
      <c r="Q200" s="70">
        <v>1.085</v>
      </c>
      <c r="R200" s="44">
        <f t="shared" si="44"/>
        <v>147.4</v>
      </c>
      <c r="S200" s="44">
        <f t="shared" si="45"/>
        <v>147.4</v>
      </c>
      <c r="T200" s="50">
        <v>1.1000000000000001</v>
      </c>
      <c r="U200" s="44">
        <f t="shared" si="45"/>
        <v>236.20761947916989</v>
      </c>
      <c r="V200" s="15">
        <f t="shared" si="46"/>
        <v>222.41772079017881</v>
      </c>
      <c r="W200" s="260">
        <f t="shared" si="47"/>
        <v>222.41772079017881</v>
      </c>
      <c r="X200" s="132">
        <f>286*106.5%</f>
        <v>304.58999999999997</v>
      </c>
    </row>
    <row r="201" spans="1:24" s="17" customFormat="1" x14ac:dyDescent="0.25">
      <c r="A201" s="363"/>
      <c r="B201" s="59" t="s">
        <v>730</v>
      </c>
      <c r="C201" s="51">
        <v>184</v>
      </c>
      <c r="D201" s="52">
        <v>194.7088</v>
      </c>
      <c r="E201" s="52">
        <f>ROUND(D201,0)</f>
        <v>195</v>
      </c>
      <c r="F201" s="52">
        <f>E201*1.092</f>
        <v>212.94000000000003</v>
      </c>
      <c r="G201" s="53">
        <v>234</v>
      </c>
      <c r="H201" s="53">
        <f t="shared" si="38"/>
        <v>362.9916771160681</v>
      </c>
      <c r="I201" s="70">
        <v>1.0620000000000001</v>
      </c>
      <c r="J201" s="44">
        <f t="shared" si="42"/>
        <v>341.8000726140001</v>
      </c>
      <c r="K201" s="70">
        <v>1.0640000000000001</v>
      </c>
      <c r="L201" s="44">
        <f t="shared" si="35"/>
        <v>321.24066975000005</v>
      </c>
      <c r="M201" s="47">
        <v>1.07</v>
      </c>
      <c r="N201" s="44">
        <f t="shared" si="43"/>
        <v>300.22492500000004</v>
      </c>
      <c r="O201" s="70">
        <v>1.075</v>
      </c>
      <c r="P201" s="44">
        <f t="shared" si="37"/>
        <v>279.27900000000005</v>
      </c>
      <c r="Q201" s="70">
        <v>1.085</v>
      </c>
      <c r="R201" s="44">
        <f t="shared" si="44"/>
        <v>257.40000000000003</v>
      </c>
      <c r="S201" s="44">
        <f t="shared" si="45"/>
        <v>257.40000000000003</v>
      </c>
      <c r="T201" s="50">
        <v>1.1000000000000001</v>
      </c>
      <c r="U201" s="44">
        <f t="shared" si="45"/>
        <v>412.48196237407285</v>
      </c>
      <c r="V201" s="15">
        <f t="shared" si="46"/>
        <v>388.40109451419289</v>
      </c>
      <c r="W201" s="260">
        <f t="shared" si="47"/>
        <v>388.40109451419289</v>
      </c>
      <c r="X201" s="132">
        <f>497*106.5%</f>
        <v>529.30499999999995</v>
      </c>
    </row>
    <row r="202" spans="1:24" s="17" customFormat="1" x14ac:dyDescent="0.25">
      <c r="A202" s="363"/>
      <c r="B202" s="165" t="s">
        <v>821</v>
      </c>
      <c r="C202" s="158"/>
      <c r="D202" s="157"/>
      <c r="E202" s="157"/>
      <c r="F202" s="157"/>
      <c r="G202" s="156"/>
      <c r="H202" s="166">
        <v>500</v>
      </c>
      <c r="I202" s="70"/>
      <c r="J202" s="44"/>
      <c r="K202" s="70"/>
      <c r="L202" s="44"/>
      <c r="M202" s="47"/>
      <c r="N202" s="44"/>
      <c r="O202" s="70"/>
      <c r="P202" s="44"/>
      <c r="Q202" s="70"/>
      <c r="R202" s="44"/>
      <c r="S202" s="44"/>
      <c r="T202" s="50"/>
      <c r="U202" s="44"/>
      <c r="V202" s="15">
        <f t="shared" si="46"/>
        <v>535</v>
      </c>
      <c r="W202" s="260">
        <f t="shared" si="47"/>
        <v>535</v>
      </c>
      <c r="X202" s="132">
        <f>685*106.5%</f>
        <v>729.52499999999998</v>
      </c>
    </row>
    <row r="203" spans="1:24" s="17" customFormat="1" x14ac:dyDescent="0.25">
      <c r="A203" s="363"/>
      <c r="B203" s="59" t="s">
        <v>731</v>
      </c>
      <c r="C203" s="51">
        <v>305</v>
      </c>
      <c r="D203" s="52">
        <v>322.75100000000003</v>
      </c>
      <c r="E203" s="52">
        <f>ROUND(D203,0)</f>
        <v>323</v>
      </c>
      <c r="F203" s="52">
        <f>E203*1.092</f>
        <v>352.71600000000001</v>
      </c>
      <c r="G203" s="53">
        <v>388</v>
      </c>
      <c r="H203" s="53">
        <f t="shared" si="38"/>
        <v>601.88363555997603</v>
      </c>
      <c r="I203" s="70">
        <v>1.0620000000000001</v>
      </c>
      <c r="J203" s="44">
        <f t="shared" si="42"/>
        <v>566.74541954799997</v>
      </c>
      <c r="K203" s="70">
        <v>1.0640000000000001</v>
      </c>
      <c r="L203" s="44">
        <f t="shared" si="35"/>
        <v>532.65546949999998</v>
      </c>
      <c r="M203" s="47">
        <v>1.07</v>
      </c>
      <c r="N203" s="44">
        <f t="shared" si="43"/>
        <v>497.80884999999995</v>
      </c>
      <c r="O203" s="70">
        <v>1.075</v>
      </c>
      <c r="P203" s="44">
        <f t="shared" si="37"/>
        <v>463.07799999999997</v>
      </c>
      <c r="Q203" s="70">
        <v>1.085</v>
      </c>
      <c r="R203" s="44">
        <f t="shared" si="44"/>
        <v>426.8</v>
      </c>
      <c r="S203" s="44">
        <f t="shared" si="45"/>
        <v>426.8</v>
      </c>
      <c r="T203" s="50">
        <v>1.1000000000000001</v>
      </c>
      <c r="U203" s="44">
        <f t="shared" si="45"/>
        <v>683.94445043222322</v>
      </c>
      <c r="V203" s="15">
        <f t="shared" si="46"/>
        <v>644.01549004917433</v>
      </c>
      <c r="W203" s="260">
        <f t="shared" si="47"/>
        <v>644.01549004917433</v>
      </c>
      <c r="X203" s="132">
        <f>826*106.5%</f>
        <v>879.68999999999994</v>
      </c>
    </row>
    <row r="204" spans="1:24" x14ac:dyDescent="0.25">
      <c r="A204" s="362" t="s">
        <v>97</v>
      </c>
      <c r="B204" s="356" t="s">
        <v>296</v>
      </c>
      <c r="C204" s="357"/>
      <c r="D204" s="357"/>
      <c r="E204" s="357"/>
      <c r="F204" s="357"/>
      <c r="G204" s="357"/>
      <c r="H204" s="357"/>
      <c r="I204" s="357"/>
      <c r="J204" s="358"/>
      <c r="K204" s="47"/>
      <c r="L204" s="44"/>
      <c r="M204" s="47"/>
      <c r="N204" s="44"/>
      <c r="O204" s="70"/>
      <c r="P204" s="44"/>
      <c r="Q204" s="70"/>
      <c r="R204" s="44"/>
      <c r="S204" s="44"/>
      <c r="T204" s="50"/>
      <c r="U204" s="44"/>
      <c r="V204" s="15"/>
      <c r="X204" s="132"/>
    </row>
    <row r="205" spans="1:24" s="17" customFormat="1" x14ac:dyDescent="0.25">
      <c r="A205" s="363"/>
      <c r="B205" s="59" t="s">
        <v>730</v>
      </c>
      <c r="C205" s="51"/>
      <c r="D205" s="52"/>
      <c r="E205" s="52"/>
      <c r="F205" s="52"/>
      <c r="G205" s="53">
        <v>415</v>
      </c>
      <c r="H205" s="53">
        <f t="shared" si="38"/>
        <v>643.76729061183028</v>
      </c>
      <c r="I205" s="70">
        <v>1.0620000000000001</v>
      </c>
      <c r="J205" s="44">
        <f>K205*L205</f>
        <v>606.18388946500022</v>
      </c>
      <c r="K205" s="70">
        <v>1.0640000000000001</v>
      </c>
      <c r="L205" s="44">
        <f t="shared" si="35"/>
        <v>569.72170062500015</v>
      </c>
      <c r="M205" s="47">
        <v>1.07</v>
      </c>
      <c r="N205" s="44">
        <f t="shared" si="43"/>
        <v>532.45018750000008</v>
      </c>
      <c r="O205" s="70">
        <v>1.075</v>
      </c>
      <c r="P205" s="44">
        <f t="shared" si="37"/>
        <v>495.30250000000007</v>
      </c>
      <c r="Q205" s="70">
        <v>1.085</v>
      </c>
      <c r="R205" s="44">
        <f>S205</f>
        <v>456.50000000000006</v>
      </c>
      <c r="S205" s="44">
        <f>G205*T205</f>
        <v>456.50000000000006</v>
      </c>
      <c r="T205" s="50">
        <v>1.1000000000000001</v>
      </c>
      <c r="U205" s="44">
        <f>I205*V205</f>
        <v>731.53852301384723</v>
      </c>
      <c r="V205" s="15">
        <f t="shared" ref="V205:V215" si="48">H205*107%</f>
        <v>688.83100095465841</v>
      </c>
      <c r="W205" s="260">
        <f t="shared" ref="W205:W215" si="49">V205</f>
        <v>688.83100095465841</v>
      </c>
      <c r="X205" s="132">
        <f>884*106.5%</f>
        <v>941.45999999999992</v>
      </c>
    </row>
    <row r="206" spans="1:24" s="17" customFormat="1" x14ac:dyDescent="0.25">
      <c r="A206" s="363"/>
      <c r="B206" s="59" t="s">
        <v>731</v>
      </c>
      <c r="C206" s="51">
        <v>418</v>
      </c>
      <c r="D206" s="52">
        <v>442.32760000000002</v>
      </c>
      <c r="E206" s="52">
        <f>ROUND(D206,0)</f>
        <v>442</v>
      </c>
      <c r="F206" s="52">
        <f>E206*1.092</f>
        <v>482.66400000000004</v>
      </c>
      <c r="G206" s="53">
        <v>532</v>
      </c>
      <c r="H206" s="53">
        <f t="shared" si="38"/>
        <v>825.2631291698641</v>
      </c>
      <c r="I206" s="70">
        <v>1.0620000000000001</v>
      </c>
      <c r="J206" s="44">
        <f>K206*L206</f>
        <v>777.08392577200004</v>
      </c>
      <c r="K206" s="70">
        <v>1.0640000000000001</v>
      </c>
      <c r="L206" s="44">
        <f t="shared" si="35"/>
        <v>730.34203549999995</v>
      </c>
      <c r="M206" s="47">
        <v>1.07</v>
      </c>
      <c r="N206" s="44">
        <f t="shared" si="43"/>
        <v>682.56264999999996</v>
      </c>
      <c r="O206" s="70">
        <v>1.075</v>
      </c>
      <c r="P206" s="44">
        <f t="shared" si="37"/>
        <v>634.94200000000001</v>
      </c>
      <c r="Q206" s="70">
        <v>1.085</v>
      </c>
      <c r="R206" s="44">
        <f>S206</f>
        <v>585.20000000000005</v>
      </c>
      <c r="S206" s="44">
        <f>G206*T206</f>
        <v>585.20000000000005</v>
      </c>
      <c r="T206" s="50">
        <v>1.1000000000000001</v>
      </c>
      <c r="U206" s="44">
        <f>I206*V206</f>
        <v>937.77950420088348</v>
      </c>
      <c r="V206" s="15">
        <f t="shared" si="48"/>
        <v>883.03154821175463</v>
      </c>
      <c r="W206" s="260">
        <f t="shared" si="49"/>
        <v>883.03154821175463</v>
      </c>
      <c r="X206" s="132">
        <f>1133*106.5%</f>
        <v>1206.645</v>
      </c>
    </row>
    <row r="207" spans="1:24" s="17" customFormat="1" x14ac:dyDescent="0.25">
      <c r="A207" s="284" t="s">
        <v>919</v>
      </c>
      <c r="B207" s="319" t="s">
        <v>920</v>
      </c>
      <c r="C207" s="320"/>
      <c r="D207" s="321"/>
      <c r="E207" s="321"/>
      <c r="F207" s="321"/>
      <c r="G207" s="322"/>
      <c r="H207" s="322"/>
      <c r="I207" s="318"/>
      <c r="J207" s="305"/>
      <c r="K207" s="70"/>
      <c r="L207" s="44"/>
      <c r="M207" s="47"/>
      <c r="N207" s="44"/>
      <c r="O207" s="70"/>
      <c r="P207" s="44"/>
      <c r="Q207" s="70"/>
      <c r="R207" s="44"/>
      <c r="S207" s="44"/>
      <c r="T207" s="50"/>
      <c r="U207" s="44"/>
      <c r="V207" s="15"/>
      <c r="W207" s="30"/>
      <c r="X207" s="132">
        <f>992*106.5%</f>
        <v>1056.48</v>
      </c>
    </row>
    <row r="208" spans="1:24" s="17" customFormat="1" x14ac:dyDescent="0.25">
      <c r="A208" s="284" t="s">
        <v>971</v>
      </c>
      <c r="B208" s="319" t="s">
        <v>973</v>
      </c>
      <c r="C208" s="320"/>
      <c r="D208" s="321"/>
      <c r="E208" s="321"/>
      <c r="F208" s="321"/>
      <c r="G208" s="322"/>
      <c r="H208" s="322"/>
      <c r="I208" s="318"/>
      <c r="J208" s="305"/>
      <c r="K208" s="70"/>
      <c r="L208" s="44"/>
      <c r="M208" s="47"/>
      <c r="N208" s="44"/>
      <c r="O208" s="70"/>
      <c r="P208" s="44"/>
      <c r="Q208" s="70"/>
      <c r="R208" s="44"/>
      <c r="S208" s="44"/>
      <c r="T208" s="50"/>
      <c r="U208" s="44"/>
      <c r="V208" s="15"/>
      <c r="W208" s="30"/>
      <c r="X208" s="132">
        <f>3894*106.5%</f>
        <v>4147.1099999999997</v>
      </c>
    </row>
    <row r="209" spans="1:24" s="17" customFormat="1" x14ac:dyDescent="0.25">
      <c r="A209" s="284" t="s">
        <v>972</v>
      </c>
      <c r="B209" s="319" t="s">
        <v>974</v>
      </c>
      <c r="C209" s="320"/>
      <c r="D209" s="321"/>
      <c r="E209" s="321"/>
      <c r="F209" s="321"/>
      <c r="G209" s="322"/>
      <c r="H209" s="322"/>
      <c r="I209" s="318"/>
      <c r="J209" s="305"/>
      <c r="K209" s="70"/>
      <c r="L209" s="44"/>
      <c r="M209" s="47"/>
      <c r="N209" s="44"/>
      <c r="O209" s="70"/>
      <c r="P209" s="44"/>
      <c r="Q209" s="70"/>
      <c r="R209" s="44"/>
      <c r="S209" s="44"/>
      <c r="T209" s="50"/>
      <c r="U209" s="44"/>
      <c r="V209" s="15"/>
      <c r="W209" s="30"/>
      <c r="X209" s="132"/>
    </row>
    <row r="210" spans="1:24" s="17" customFormat="1" x14ac:dyDescent="0.25">
      <c r="A210" s="284"/>
      <c r="B210" s="319" t="s">
        <v>975</v>
      </c>
      <c r="C210" s="320"/>
      <c r="D210" s="321"/>
      <c r="E210" s="321"/>
      <c r="F210" s="321"/>
      <c r="G210" s="322"/>
      <c r="H210" s="322"/>
      <c r="I210" s="318"/>
      <c r="J210" s="305"/>
      <c r="K210" s="70"/>
      <c r="L210" s="44"/>
      <c r="M210" s="47"/>
      <c r="N210" s="44"/>
      <c r="O210" s="70"/>
      <c r="P210" s="44"/>
      <c r="Q210" s="70"/>
      <c r="R210" s="44"/>
      <c r="S210" s="44"/>
      <c r="T210" s="50"/>
      <c r="U210" s="44"/>
      <c r="V210" s="15"/>
      <c r="W210" s="30"/>
      <c r="X210" s="132">
        <f>884*106.5%</f>
        <v>941.45999999999992</v>
      </c>
    </row>
    <row r="211" spans="1:24" s="17" customFormat="1" x14ac:dyDescent="0.25">
      <c r="A211" s="284"/>
      <c r="B211" s="319" t="s">
        <v>976</v>
      </c>
      <c r="C211" s="320"/>
      <c r="D211" s="321"/>
      <c r="E211" s="321"/>
      <c r="F211" s="321"/>
      <c r="G211" s="322"/>
      <c r="H211" s="322"/>
      <c r="I211" s="318"/>
      <c r="J211" s="305"/>
      <c r="K211" s="70"/>
      <c r="L211" s="44"/>
      <c r="M211" s="47"/>
      <c r="N211" s="44"/>
      <c r="O211" s="70"/>
      <c r="P211" s="44"/>
      <c r="Q211" s="70"/>
      <c r="R211" s="44"/>
      <c r="S211" s="44"/>
      <c r="T211" s="50"/>
      <c r="U211" s="44"/>
      <c r="V211" s="15"/>
      <c r="W211" s="30"/>
      <c r="X211" s="132">
        <f>1133*106.5%</f>
        <v>1206.645</v>
      </c>
    </row>
    <row r="212" spans="1:24" s="17" customFormat="1" x14ac:dyDescent="0.25">
      <c r="A212" s="362" t="s">
        <v>98</v>
      </c>
      <c r="B212" s="372" t="s">
        <v>75</v>
      </c>
      <c r="C212" s="373"/>
      <c r="D212" s="373"/>
      <c r="E212" s="373"/>
      <c r="F212" s="373"/>
      <c r="G212" s="373"/>
      <c r="H212" s="373"/>
      <c r="I212" s="373"/>
      <c r="J212" s="374"/>
      <c r="K212" s="47"/>
      <c r="L212" s="44"/>
      <c r="M212" s="47"/>
      <c r="N212" s="44"/>
      <c r="O212" s="70"/>
      <c r="P212" s="44"/>
      <c r="Q212" s="70"/>
      <c r="R212" s="44"/>
      <c r="S212" s="81"/>
      <c r="T212" s="83"/>
      <c r="U212" s="81"/>
      <c r="V212" s="21"/>
      <c r="X212" s="132"/>
    </row>
    <row r="213" spans="1:24" s="17" customFormat="1" x14ac:dyDescent="0.25">
      <c r="A213" s="363"/>
      <c r="B213" s="59" t="s">
        <v>76</v>
      </c>
      <c r="C213" s="51">
        <v>397</v>
      </c>
      <c r="D213" s="52">
        <v>420.10540000000003</v>
      </c>
      <c r="E213" s="52">
        <f>ROUND(D213,0)</f>
        <v>420</v>
      </c>
      <c r="F213" s="52">
        <f>E213*1.092</f>
        <v>458.64000000000004</v>
      </c>
      <c r="G213" s="53">
        <v>505</v>
      </c>
      <c r="H213" s="53">
        <f t="shared" si="38"/>
        <v>783.37947411801008</v>
      </c>
      <c r="I213" s="70">
        <v>1.0620000000000001</v>
      </c>
      <c r="J213" s="44">
        <f>K213*L213</f>
        <v>737.64545585500002</v>
      </c>
      <c r="K213" s="70">
        <v>1.0640000000000001</v>
      </c>
      <c r="L213" s="44">
        <f t="shared" si="35"/>
        <v>693.27580437500001</v>
      </c>
      <c r="M213" s="47">
        <v>1.07</v>
      </c>
      <c r="N213" s="44">
        <f t="shared" si="43"/>
        <v>647.9213125</v>
      </c>
      <c r="O213" s="70">
        <v>1.075</v>
      </c>
      <c r="P213" s="44">
        <f t="shared" si="37"/>
        <v>602.71749999999997</v>
      </c>
      <c r="Q213" s="70">
        <v>1.085</v>
      </c>
      <c r="R213" s="44">
        <f>S213</f>
        <v>555.5</v>
      </c>
      <c r="S213" s="44">
        <f>G213*T213</f>
        <v>555.5</v>
      </c>
      <c r="T213" s="50">
        <v>1.1000000000000001</v>
      </c>
      <c r="U213" s="44">
        <f>I213*V213</f>
        <v>890.18543161925959</v>
      </c>
      <c r="V213" s="15">
        <f t="shared" si="48"/>
        <v>838.21603730627078</v>
      </c>
      <c r="W213" s="260">
        <f t="shared" si="49"/>
        <v>838.21603730627078</v>
      </c>
      <c r="X213" s="132">
        <f>1074*106.5%</f>
        <v>1143.81</v>
      </c>
    </row>
    <row r="214" spans="1:24" s="17" customFormat="1" x14ac:dyDescent="0.25">
      <c r="A214" s="363"/>
      <c r="B214" s="59" t="s">
        <v>77</v>
      </c>
      <c r="C214" s="51">
        <v>343</v>
      </c>
      <c r="D214" s="52">
        <v>362.96260000000001</v>
      </c>
      <c r="E214" s="52">
        <f>ROUND(D214,0)</f>
        <v>363</v>
      </c>
      <c r="F214" s="52">
        <f>E214*1.092</f>
        <v>396.39600000000002</v>
      </c>
      <c r="G214" s="53">
        <v>436</v>
      </c>
      <c r="H214" s="53">
        <f t="shared" si="38"/>
        <v>676.34346676327186</v>
      </c>
      <c r="I214" s="70">
        <v>1.0620000000000001</v>
      </c>
      <c r="J214" s="44">
        <f>K214*L214</f>
        <v>636.85825495599988</v>
      </c>
      <c r="K214" s="70">
        <v>1.0640000000000001</v>
      </c>
      <c r="L214" s="44">
        <f t="shared" si="35"/>
        <v>598.5509914999999</v>
      </c>
      <c r="M214" s="47">
        <v>1.07</v>
      </c>
      <c r="N214" s="44">
        <f t="shared" si="43"/>
        <v>559.39344999999992</v>
      </c>
      <c r="O214" s="70">
        <v>1.075</v>
      </c>
      <c r="P214" s="44">
        <f t="shared" si="37"/>
        <v>520.36599999999999</v>
      </c>
      <c r="Q214" s="70">
        <v>1.085</v>
      </c>
      <c r="R214" s="44">
        <f>S214</f>
        <v>479.6</v>
      </c>
      <c r="S214" s="44">
        <f>G214*T214</f>
        <v>479.6</v>
      </c>
      <c r="T214" s="50">
        <v>1.1000000000000001</v>
      </c>
      <c r="U214" s="44">
        <f>I214*V214</f>
        <v>768.55613502177641</v>
      </c>
      <c r="V214" s="15">
        <f t="shared" si="48"/>
        <v>723.68750943670091</v>
      </c>
      <c r="W214" s="260">
        <f t="shared" si="49"/>
        <v>723.68750943670091</v>
      </c>
      <c r="X214" s="132">
        <f>928*106.5%</f>
        <v>988.31999999999994</v>
      </c>
    </row>
    <row r="215" spans="1:24" s="17" customFormat="1" x14ac:dyDescent="0.25">
      <c r="A215" s="363"/>
      <c r="B215" s="59" t="s">
        <v>78</v>
      </c>
      <c r="C215" s="51"/>
      <c r="D215" s="52"/>
      <c r="E215" s="52"/>
      <c r="F215" s="52"/>
      <c r="G215" s="53">
        <v>1200</v>
      </c>
      <c r="H215" s="53">
        <f t="shared" si="38"/>
        <v>1861.4957800824002</v>
      </c>
      <c r="I215" s="70">
        <v>1.0620000000000001</v>
      </c>
      <c r="J215" s="44">
        <f>K215*L215</f>
        <v>1752.8208852</v>
      </c>
      <c r="K215" s="70">
        <v>1.0640000000000001</v>
      </c>
      <c r="L215" s="44">
        <f t="shared" si="35"/>
        <v>1647.38805</v>
      </c>
      <c r="M215" s="47">
        <v>1.07</v>
      </c>
      <c r="N215" s="44">
        <f t="shared" si="43"/>
        <v>1539.615</v>
      </c>
      <c r="O215" s="70">
        <v>1.075</v>
      </c>
      <c r="P215" s="44">
        <f t="shared" si="37"/>
        <v>1432.2</v>
      </c>
      <c r="Q215" s="70">
        <v>1.085</v>
      </c>
      <c r="R215" s="44">
        <f>S215</f>
        <v>1320</v>
      </c>
      <c r="S215" s="44">
        <f>G215*T215</f>
        <v>1320</v>
      </c>
      <c r="T215" s="50">
        <v>1.1000000000000001</v>
      </c>
      <c r="U215" s="44">
        <f>I215*V215</f>
        <v>2115.2921147388347</v>
      </c>
      <c r="V215" s="15">
        <f t="shared" si="48"/>
        <v>1991.8004846881684</v>
      </c>
      <c r="W215" s="260">
        <f t="shared" si="49"/>
        <v>1991.8004846881684</v>
      </c>
      <c r="X215" s="132">
        <f>2556*106.5%</f>
        <v>2722.14</v>
      </c>
    </row>
    <row r="216" spans="1:24" x14ac:dyDescent="0.25">
      <c r="A216" s="367" t="s">
        <v>99</v>
      </c>
      <c r="B216" s="356" t="s">
        <v>79</v>
      </c>
      <c r="C216" s="357"/>
      <c r="D216" s="357"/>
      <c r="E216" s="357"/>
      <c r="F216" s="357"/>
      <c r="G216" s="357"/>
      <c r="H216" s="357"/>
      <c r="I216" s="357"/>
      <c r="J216" s="358"/>
      <c r="K216" s="47"/>
      <c r="L216" s="44"/>
      <c r="M216" s="47"/>
      <c r="N216" s="44"/>
      <c r="O216" s="70"/>
      <c r="P216" s="44"/>
      <c r="Q216" s="70"/>
      <c r="R216" s="44"/>
      <c r="S216" s="44"/>
      <c r="T216" s="50"/>
      <c r="U216" s="44"/>
      <c r="V216" s="15"/>
      <c r="X216" s="132"/>
    </row>
    <row r="217" spans="1:24" s="17" customFormat="1" x14ac:dyDescent="0.25">
      <c r="A217" s="355"/>
      <c r="B217" s="59" t="s">
        <v>730</v>
      </c>
      <c r="C217" s="51"/>
      <c r="D217" s="52"/>
      <c r="E217" s="52"/>
      <c r="F217" s="52"/>
      <c r="G217" s="53">
        <v>259</v>
      </c>
      <c r="H217" s="53">
        <f t="shared" si="38"/>
        <v>401.77283920111807</v>
      </c>
      <c r="I217" s="70">
        <v>1.0620000000000001</v>
      </c>
      <c r="J217" s="44">
        <f>K217*L217</f>
        <v>378.31717438900006</v>
      </c>
      <c r="K217" s="70">
        <v>1.0640000000000001</v>
      </c>
      <c r="L217" s="44">
        <f t="shared" si="35"/>
        <v>355.56125412500006</v>
      </c>
      <c r="M217" s="47">
        <v>1.07</v>
      </c>
      <c r="N217" s="44">
        <f t="shared" ref="N217:N225" si="50">O217*P217</f>
        <v>332.30023750000004</v>
      </c>
      <c r="O217" s="70">
        <v>1.075</v>
      </c>
      <c r="P217" s="44">
        <f t="shared" si="37"/>
        <v>309.11650000000003</v>
      </c>
      <c r="Q217" s="70">
        <v>1.085</v>
      </c>
      <c r="R217" s="44">
        <f>S217</f>
        <v>284.90000000000003</v>
      </c>
      <c r="S217" s="44">
        <f>G217*T217</f>
        <v>284.90000000000003</v>
      </c>
      <c r="T217" s="50">
        <v>1.1000000000000001</v>
      </c>
      <c r="U217" s="44">
        <f>I217*V217</f>
        <v>456.55054809779858</v>
      </c>
      <c r="V217" s="15">
        <f>H217*107%</f>
        <v>429.89693794519638</v>
      </c>
      <c r="W217" s="260">
        <f>V217</f>
        <v>429.89693794519638</v>
      </c>
      <c r="X217" s="132">
        <f>552*106.5%</f>
        <v>587.88</v>
      </c>
    </row>
    <row r="218" spans="1:24" s="17" customFormat="1" x14ac:dyDescent="0.25">
      <c r="A218" s="355"/>
      <c r="B218" s="59" t="s">
        <v>731</v>
      </c>
      <c r="C218" s="51">
        <v>297</v>
      </c>
      <c r="D218" s="52">
        <v>314.28539999999998</v>
      </c>
      <c r="E218" s="52">
        <f>ROUND(D218,0)</f>
        <v>314</v>
      </c>
      <c r="F218" s="52">
        <f>E218*1.092</f>
        <v>342.88800000000003</v>
      </c>
      <c r="G218" s="53">
        <v>377</v>
      </c>
      <c r="H218" s="53">
        <f t="shared" si="38"/>
        <v>584.81992424255418</v>
      </c>
      <c r="I218" s="70">
        <v>1.0620000000000001</v>
      </c>
      <c r="J218" s="44">
        <f>K218*L218</f>
        <v>550.67789476700011</v>
      </c>
      <c r="K218" s="70">
        <v>1.0640000000000001</v>
      </c>
      <c r="L218" s="44">
        <f t="shared" si="35"/>
        <v>517.55441237500008</v>
      </c>
      <c r="M218" s="47">
        <v>1.07</v>
      </c>
      <c r="N218" s="44">
        <f t="shared" si="50"/>
        <v>483.69571250000001</v>
      </c>
      <c r="O218" s="70">
        <v>1.075</v>
      </c>
      <c r="P218" s="44">
        <f t="shared" si="37"/>
        <v>449.94950000000006</v>
      </c>
      <c r="Q218" s="70">
        <v>1.085</v>
      </c>
      <c r="R218" s="44">
        <f>S218</f>
        <v>414.70000000000005</v>
      </c>
      <c r="S218" s="44">
        <f>G218*T218</f>
        <v>414.70000000000005</v>
      </c>
      <c r="T218" s="50">
        <v>1.1000000000000001</v>
      </c>
      <c r="U218" s="44">
        <f>I218*V218</f>
        <v>664.55427271378403</v>
      </c>
      <c r="V218" s="15">
        <f>H218*107%</f>
        <v>625.75731893953298</v>
      </c>
      <c r="W218" s="260">
        <f>V218</f>
        <v>625.75731893953298</v>
      </c>
      <c r="X218" s="132">
        <f>802*106.5%</f>
        <v>854.13</v>
      </c>
    </row>
    <row r="219" spans="1:24" x14ac:dyDescent="0.25">
      <c r="A219" s="362" t="s">
        <v>5</v>
      </c>
      <c r="B219" s="356" t="s">
        <v>743</v>
      </c>
      <c r="C219" s="357"/>
      <c r="D219" s="357"/>
      <c r="E219" s="357"/>
      <c r="F219" s="357"/>
      <c r="G219" s="357"/>
      <c r="H219" s="357"/>
      <c r="I219" s="357"/>
      <c r="J219" s="358"/>
      <c r="K219" s="47"/>
      <c r="L219" s="44"/>
      <c r="M219" s="47"/>
      <c r="N219" s="44"/>
      <c r="O219" s="70"/>
      <c r="P219" s="44"/>
      <c r="Q219" s="70"/>
      <c r="R219" s="44"/>
      <c r="S219" s="44"/>
      <c r="T219" s="50">
        <v>1.1000000000000001</v>
      </c>
      <c r="U219" s="44"/>
      <c r="V219" s="15"/>
      <c r="X219" s="132"/>
    </row>
    <row r="220" spans="1:24" s="17" customFormat="1" x14ac:dyDescent="0.25">
      <c r="A220" s="363"/>
      <c r="B220" s="59" t="s">
        <v>730</v>
      </c>
      <c r="C220" s="51"/>
      <c r="D220" s="52"/>
      <c r="E220" s="52"/>
      <c r="F220" s="52"/>
      <c r="G220" s="53">
        <v>426</v>
      </c>
      <c r="H220" s="53">
        <f t="shared" si="38"/>
        <v>660.83100192925212</v>
      </c>
      <c r="I220" s="70">
        <v>1.0620000000000001</v>
      </c>
      <c r="J220" s="44">
        <f>K220*L220</f>
        <v>622.25141424600008</v>
      </c>
      <c r="K220" s="70">
        <v>1.0640000000000001</v>
      </c>
      <c r="L220" s="44">
        <f t="shared" si="35"/>
        <v>584.82275775000005</v>
      </c>
      <c r="M220" s="47">
        <v>1.07</v>
      </c>
      <c r="N220" s="44">
        <f t="shared" si="50"/>
        <v>546.56332499999996</v>
      </c>
      <c r="O220" s="70">
        <v>1.075</v>
      </c>
      <c r="P220" s="44">
        <f t="shared" si="37"/>
        <v>508.43099999999998</v>
      </c>
      <c r="Q220" s="70">
        <v>1.085</v>
      </c>
      <c r="R220" s="44">
        <f>S220</f>
        <v>468.6</v>
      </c>
      <c r="S220" s="44">
        <f>G220*T220</f>
        <v>468.6</v>
      </c>
      <c r="T220" s="50">
        <v>1.1000000000000001</v>
      </c>
      <c r="U220" s="44">
        <f>I220*V220</f>
        <v>750.92870073228642</v>
      </c>
      <c r="V220" s="15">
        <f>H220*107%</f>
        <v>707.08917206429976</v>
      </c>
      <c r="W220" s="265">
        <f>V220</f>
        <v>707.08917206429976</v>
      </c>
      <c r="X220" s="132">
        <f>907*106.5%</f>
        <v>965.95499999999993</v>
      </c>
    </row>
    <row r="221" spans="1:24" s="17" customFormat="1" x14ac:dyDescent="0.25">
      <c r="A221" s="363"/>
      <c r="B221" s="59" t="s">
        <v>731</v>
      </c>
      <c r="C221" s="51">
        <v>690</v>
      </c>
      <c r="D221" s="52">
        <v>730.15800000000002</v>
      </c>
      <c r="E221" s="52">
        <f>ROUND(D221,0)</f>
        <v>730</v>
      </c>
      <c r="F221" s="52">
        <f>E221*1.092</f>
        <v>797.16000000000008</v>
      </c>
      <c r="G221" s="53">
        <v>877</v>
      </c>
      <c r="H221" s="53">
        <f t="shared" si="38"/>
        <v>1360.4431659435538</v>
      </c>
      <c r="I221" s="70">
        <v>1.0620000000000001</v>
      </c>
      <c r="J221" s="44">
        <f>K221*L221</f>
        <v>1281.0199302669998</v>
      </c>
      <c r="K221" s="70">
        <v>1.0640000000000001</v>
      </c>
      <c r="L221" s="44">
        <f t="shared" si="35"/>
        <v>1203.9660998749998</v>
      </c>
      <c r="M221" s="47">
        <v>1.07</v>
      </c>
      <c r="N221" s="44">
        <f t="shared" si="50"/>
        <v>1125.2019624999998</v>
      </c>
      <c r="O221" s="70">
        <v>1.075</v>
      </c>
      <c r="P221" s="44">
        <f t="shared" si="37"/>
        <v>1046.6994999999999</v>
      </c>
      <c r="Q221" s="70">
        <v>1.085</v>
      </c>
      <c r="R221" s="44">
        <f>S221</f>
        <v>964.7</v>
      </c>
      <c r="S221" s="44">
        <f>G221*T221</f>
        <v>964.7</v>
      </c>
      <c r="T221" s="50">
        <v>1.1000000000000001</v>
      </c>
      <c r="U221" s="44">
        <f>I221*V221</f>
        <v>1545.925987188298</v>
      </c>
      <c r="V221" s="15">
        <f>H221*107%</f>
        <v>1455.6741875596026</v>
      </c>
      <c r="W221" s="265">
        <f>V221</f>
        <v>1455.6741875596026</v>
      </c>
      <c r="X221" s="132">
        <f>1867*106.5%</f>
        <v>1988.3549999999998</v>
      </c>
    </row>
    <row r="222" spans="1:24" x14ac:dyDescent="0.25">
      <c r="A222" s="362" t="s">
        <v>6</v>
      </c>
      <c r="B222" s="356" t="s">
        <v>80</v>
      </c>
      <c r="C222" s="357"/>
      <c r="D222" s="357"/>
      <c r="E222" s="357"/>
      <c r="F222" s="357"/>
      <c r="G222" s="357"/>
      <c r="H222" s="357"/>
      <c r="I222" s="357"/>
      <c r="J222" s="358"/>
      <c r="K222" s="47"/>
      <c r="L222" s="44"/>
      <c r="M222" s="47"/>
      <c r="N222" s="44"/>
      <c r="O222" s="70"/>
      <c r="P222" s="44"/>
      <c r="Q222" s="70"/>
      <c r="R222" s="44"/>
      <c r="S222" s="44"/>
      <c r="T222" s="50"/>
      <c r="U222" s="44"/>
      <c r="V222" s="15"/>
      <c r="X222" s="132"/>
    </row>
    <row r="223" spans="1:24" x14ac:dyDescent="0.25">
      <c r="A223" s="362"/>
      <c r="B223" s="33" t="s">
        <v>728</v>
      </c>
      <c r="C223" s="46">
        <v>114</v>
      </c>
      <c r="D223" s="47">
        <v>120.6348</v>
      </c>
      <c r="E223" s="47">
        <f>ROUND(D223,0)</f>
        <v>121</v>
      </c>
      <c r="F223" s="47">
        <f>E223*1.092</f>
        <v>132.13200000000001</v>
      </c>
      <c r="G223" s="44">
        <v>145</v>
      </c>
      <c r="H223" s="53">
        <f t="shared" si="38"/>
        <v>224.93074009329004</v>
      </c>
      <c r="I223" s="70">
        <v>1.0620000000000001</v>
      </c>
      <c r="J223" s="44">
        <f>K223*L223</f>
        <v>211.79919029500002</v>
      </c>
      <c r="K223" s="70">
        <v>1.0640000000000001</v>
      </c>
      <c r="L223" s="44">
        <f t="shared" si="35"/>
        <v>199.05938937499999</v>
      </c>
      <c r="M223" s="47">
        <v>1.07</v>
      </c>
      <c r="N223" s="44">
        <f t="shared" si="50"/>
        <v>186.0368125</v>
      </c>
      <c r="O223" s="70">
        <v>1.075</v>
      </c>
      <c r="P223" s="44">
        <f t="shared" si="37"/>
        <v>173.0575</v>
      </c>
      <c r="Q223" s="70">
        <v>1.085</v>
      </c>
      <c r="R223" s="44">
        <f>S223</f>
        <v>159.5</v>
      </c>
      <c r="S223" s="44">
        <f>G223*T223</f>
        <v>159.5</v>
      </c>
      <c r="T223" s="50">
        <v>1.1000000000000001</v>
      </c>
      <c r="U223" s="44">
        <f>I223*V223</f>
        <v>255.59779719760922</v>
      </c>
      <c r="V223" s="15">
        <f>H223*107%</f>
        <v>240.67589189982036</v>
      </c>
      <c r="W223" s="260">
        <f>V223</f>
        <v>240.67589189982036</v>
      </c>
      <c r="X223" s="132">
        <f>308*106.5%</f>
        <v>328.02</v>
      </c>
    </row>
    <row r="224" spans="1:24" x14ac:dyDescent="0.25">
      <c r="A224" s="362"/>
      <c r="B224" s="59" t="s">
        <v>730</v>
      </c>
      <c r="C224" s="46"/>
      <c r="D224" s="47"/>
      <c r="E224" s="47"/>
      <c r="F224" s="47"/>
      <c r="G224" s="53">
        <v>426</v>
      </c>
      <c r="H224" s="53">
        <f t="shared" si="38"/>
        <v>660.83100192925212</v>
      </c>
      <c r="I224" s="70">
        <v>1.0620000000000001</v>
      </c>
      <c r="J224" s="44">
        <f>K224*L224</f>
        <v>622.25141424600008</v>
      </c>
      <c r="K224" s="70">
        <v>1.0640000000000001</v>
      </c>
      <c r="L224" s="44">
        <f t="shared" si="35"/>
        <v>584.82275775000005</v>
      </c>
      <c r="M224" s="47">
        <v>1.07</v>
      </c>
      <c r="N224" s="44">
        <f t="shared" si="50"/>
        <v>546.56332499999996</v>
      </c>
      <c r="O224" s="70">
        <v>1.075</v>
      </c>
      <c r="P224" s="44">
        <f t="shared" si="37"/>
        <v>508.43099999999998</v>
      </c>
      <c r="Q224" s="70">
        <v>1.085</v>
      </c>
      <c r="R224" s="44">
        <f>S224</f>
        <v>468.6</v>
      </c>
      <c r="S224" s="44">
        <f>G224*T224</f>
        <v>468.6</v>
      </c>
      <c r="T224" s="50">
        <v>1.1000000000000001</v>
      </c>
      <c r="U224" s="44">
        <f>I224*V224</f>
        <v>750.92870073228642</v>
      </c>
      <c r="V224" s="15">
        <f>H224*107%</f>
        <v>707.08917206429976</v>
      </c>
      <c r="W224" s="260">
        <f>V224</f>
        <v>707.08917206429976</v>
      </c>
      <c r="X224" s="132">
        <f>907*106.5%</f>
        <v>965.95499999999993</v>
      </c>
    </row>
    <row r="225" spans="1:24" x14ac:dyDescent="0.25">
      <c r="A225" s="362"/>
      <c r="B225" s="59" t="s">
        <v>731</v>
      </c>
      <c r="C225" s="46"/>
      <c r="D225" s="47"/>
      <c r="E225" s="47"/>
      <c r="F225" s="47"/>
      <c r="G225" s="53">
        <v>877</v>
      </c>
      <c r="H225" s="53">
        <f t="shared" si="38"/>
        <v>1360.4431659435538</v>
      </c>
      <c r="I225" s="70">
        <v>1.0620000000000001</v>
      </c>
      <c r="J225" s="44">
        <f>K225*L225</f>
        <v>1281.0199302669998</v>
      </c>
      <c r="K225" s="70">
        <v>1.0640000000000001</v>
      </c>
      <c r="L225" s="44">
        <f t="shared" si="35"/>
        <v>1203.9660998749998</v>
      </c>
      <c r="M225" s="47">
        <v>1.07</v>
      </c>
      <c r="N225" s="44">
        <f t="shared" si="50"/>
        <v>1125.2019624999998</v>
      </c>
      <c r="O225" s="70">
        <v>1.075</v>
      </c>
      <c r="P225" s="44">
        <f t="shared" si="37"/>
        <v>1046.6994999999999</v>
      </c>
      <c r="Q225" s="70">
        <v>1.085</v>
      </c>
      <c r="R225" s="44">
        <f>S225</f>
        <v>964.7</v>
      </c>
      <c r="S225" s="44">
        <f>G225*T225</f>
        <v>964.7</v>
      </c>
      <c r="T225" s="50">
        <v>1.1000000000000001</v>
      </c>
      <c r="U225" s="44">
        <f>I225*V225</f>
        <v>1545.925987188298</v>
      </c>
      <c r="V225" s="15">
        <f>H225*107%</f>
        <v>1455.6741875596026</v>
      </c>
      <c r="W225" s="260">
        <f>V225</f>
        <v>1455.6741875596026</v>
      </c>
      <c r="X225" s="132">
        <f>1867*106.5%</f>
        <v>1988.3549999999998</v>
      </c>
    </row>
    <row r="226" spans="1:24" x14ac:dyDescent="0.25">
      <c r="A226" s="128" t="s">
        <v>7</v>
      </c>
      <c r="B226" s="36" t="s">
        <v>42</v>
      </c>
      <c r="C226" s="46"/>
      <c r="D226" s="47"/>
      <c r="E226" s="47"/>
      <c r="F226" s="47"/>
      <c r="G226" s="53"/>
      <c r="H226" s="53"/>
      <c r="I226" s="70"/>
      <c r="J226" s="44"/>
      <c r="K226" s="70"/>
      <c r="L226" s="44"/>
      <c r="M226" s="47"/>
      <c r="N226" s="44"/>
      <c r="O226" s="70"/>
      <c r="P226" s="44"/>
      <c r="Q226" s="70"/>
      <c r="R226" s="44"/>
      <c r="S226" s="44"/>
      <c r="T226" s="50"/>
      <c r="U226" s="44"/>
      <c r="V226" s="15"/>
      <c r="W226" s="260"/>
      <c r="X226" s="132">
        <f>1867*106.5%</f>
        <v>1988.3549999999998</v>
      </c>
    </row>
    <row r="227" spans="1:24" x14ac:dyDescent="0.25">
      <c r="A227" s="128" t="s">
        <v>961</v>
      </c>
      <c r="B227" s="36" t="s">
        <v>962</v>
      </c>
      <c r="C227" s="46">
        <v>690</v>
      </c>
      <c r="D227" s="47">
        <v>730.15800000000002</v>
      </c>
      <c r="E227" s="47">
        <f>ROUND(D227,0)</f>
        <v>730</v>
      </c>
      <c r="F227" s="47">
        <f>E227*1.092</f>
        <v>797.16000000000008</v>
      </c>
      <c r="G227" s="44">
        <v>877</v>
      </c>
      <c r="H227" s="53">
        <f t="shared" si="38"/>
        <v>1360.4431659435538</v>
      </c>
      <c r="I227" s="70">
        <v>1.0620000000000001</v>
      </c>
      <c r="J227" s="44">
        <f>K227*L227</f>
        <v>1281.0199302669998</v>
      </c>
      <c r="K227" s="70">
        <v>1.0640000000000001</v>
      </c>
      <c r="L227" s="44">
        <f t="shared" si="35"/>
        <v>1203.9660998749998</v>
      </c>
      <c r="M227" s="47">
        <v>1.07</v>
      </c>
      <c r="N227" s="44">
        <f>O227*P227</f>
        <v>1125.2019624999998</v>
      </c>
      <c r="O227" s="70">
        <v>1.075</v>
      </c>
      <c r="P227" s="44">
        <f t="shared" si="37"/>
        <v>1046.6994999999999</v>
      </c>
      <c r="Q227" s="70">
        <v>1.085</v>
      </c>
      <c r="R227" s="44">
        <f>S227</f>
        <v>964.7</v>
      </c>
      <c r="S227" s="44">
        <f>G227*T227</f>
        <v>964.7</v>
      </c>
      <c r="T227" s="50">
        <v>1.1000000000000001</v>
      </c>
      <c r="U227" s="44">
        <f>I227*V227</f>
        <v>1545.925987188298</v>
      </c>
      <c r="V227" s="15">
        <f>H227*107%</f>
        <v>1455.6741875596026</v>
      </c>
      <c r="W227" s="260">
        <f>V227</f>
        <v>1455.6741875596026</v>
      </c>
      <c r="X227" s="132">
        <f>26139*106.5%</f>
        <v>27838.035</v>
      </c>
    </row>
    <row r="228" spans="1:24" x14ac:dyDescent="0.25">
      <c r="A228" s="362" t="s">
        <v>8</v>
      </c>
      <c r="B228" s="375" t="s">
        <v>299</v>
      </c>
      <c r="C228" s="376"/>
      <c r="D228" s="376"/>
      <c r="E228" s="376"/>
      <c r="F228" s="376"/>
      <c r="G228" s="376"/>
      <c r="H228" s="376"/>
      <c r="I228" s="376"/>
      <c r="J228" s="377"/>
      <c r="K228" s="47"/>
      <c r="L228" s="44"/>
      <c r="M228" s="47"/>
      <c r="N228" s="44"/>
      <c r="O228" s="70"/>
      <c r="P228" s="44"/>
      <c r="Q228" s="70"/>
      <c r="R228" s="44"/>
      <c r="S228" s="67"/>
      <c r="T228" s="50"/>
      <c r="U228" s="67"/>
      <c r="V228" s="15"/>
      <c r="X228" s="132"/>
    </row>
    <row r="229" spans="1:24" x14ac:dyDescent="0.25">
      <c r="A229" s="362"/>
      <c r="B229" s="33" t="s">
        <v>32</v>
      </c>
      <c r="C229" s="46"/>
      <c r="D229" s="47"/>
      <c r="E229" s="47"/>
      <c r="F229" s="47">
        <v>21</v>
      </c>
      <c r="G229" s="44">
        <v>23</v>
      </c>
      <c r="H229" s="53">
        <f t="shared" si="38"/>
        <v>35.678669118246006</v>
      </c>
      <c r="I229" s="70">
        <v>1.0620000000000001</v>
      </c>
      <c r="J229" s="44">
        <f>K229*L229</f>
        <v>33.595733633000002</v>
      </c>
      <c r="K229" s="70">
        <v>1.0640000000000001</v>
      </c>
      <c r="L229" s="44">
        <f t="shared" si="35"/>
        <v>31.574937624999997</v>
      </c>
      <c r="M229" s="47">
        <v>1.07</v>
      </c>
      <c r="N229" s="44">
        <f t="shared" ref="N229:N248" si="51">O229*P229</f>
        <v>29.509287499999996</v>
      </c>
      <c r="O229" s="70">
        <v>1.075</v>
      </c>
      <c r="P229" s="44">
        <f t="shared" si="37"/>
        <v>27.450499999999998</v>
      </c>
      <c r="Q229" s="70">
        <v>1.085</v>
      </c>
      <c r="R229" s="44">
        <f t="shared" ref="R229:R248" si="52">S229</f>
        <v>25.3</v>
      </c>
      <c r="S229" s="44">
        <f>G229*T229</f>
        <v>25.3</v>
      </c>
      <c r="T229" s="50">
        <v>1.1000000000000001</v>
      </c>
      <c r="U229" s="44">
        <f>I229*V229</f>
        <v>40.543098865827673</v>
      </c>
      <c r="V229" s="15">
        <f t="shared" ref="V229:V261" si="53">H229*107%</f>
        <v>38.176175956523231</v>
      </c>
      <c r="W229" s="260">
        <f t="shared" ref="W229:W261" si="54">V229</f>
        <v>38.176175956523231</v>
      </c>
      <c r="X229" s="132">
        <f>49*106.5%</f>
        <v>52.184999999999995</v>
      </c>
    </row>
    <row r="230" spans="1:24" x14ac:dyDescent="0.25">
      <c r="A230" s="363"/>
      <c r="B230" s="33" t="s">
        <v>81</v>
      </c>
      <c r="C230" s="46"/>
      <c r="D230" s="47"/>
      <c r="E230" s="47"/>
      <c r="F230" s="47">
        <v>52</v>
      </c>
      <c r="G230" s="44">
        <v>57</v>
      </c>
      <c r="H230" s="53">
        <f t="shared" si="38"/>
        <v>88.421049553914003</v>
      </c>
      <c r="I230" s="70">
        <v>1.0620000000000001</v>
      </c>
      <c r="J230" s="44">
        <f>K230*L230</f>
        <v>83.258992046999992</v>
      </c>
      <c r="K230" s="70">
        <v>1.0640000000000001</v>
      </c>
      <c r="L230" s="44">
        <f t="shared" ref="L230:L265" si="55">M230*N230</f>
        <v>78.250932374999991</v>
      </c>
      <c r="M230" s="47">
        <v>1.07</v>
      </c>
      <c r="N230" s="44">
        <f t="shared" si="51"/>
        <v>73.131712499999992</v>
      </c>
      <c r="O230" s="70">
        <v>1.075</v>
      </c>
      <c r="P230" s="44">
        <f t="shared" si="37"/>
        <v>68.029499999999999</v>
      </c>
      <c r="Q230" s="70">
        <v>1.085</v>
      </c>
      <c r="R230" s="44">
        <f t="shared" si="52"/>
        <v>62.7</v>
      </c>
      <c r="S230" s="44">
        <f>G230*T230</f>
        <v>62.7</v>
      </c>
      <c r="T230" s="50">
        <v>1.1000000000000001</v>
      </c>
      <c r="U230" s="44">
        <f>I230*V230</f>
        <v>100.47637545009465</v>
      </c>
      <c r="V230" s="15">
        <f t="shared" si="53"/>
        <v>94.610523022687985</v>
      </c>
      <c r="W230" s="260">
        <f t="shared" si="54"/>
        <v>94.610523022687985</v>
      </c>
      <c r="X230" s="132">
        <f>121*106.5%</f>
        <v>128.86499999999998</v>
      </c>
    </row>
    <row r="231" spans="1:24" x14ac:dyDescent="0.25">
      <c r="A231" s="363"/>
      <c r="B231" s="33" t="s">
        <v>82</v>
      </c>
      <c r="C231" s="46"/>
      <c r="D231" s="47"/>
      <c r="E231" s="47"/>
      <c r="F231" s="47">
        <v>69</v>
      </c>
      <c r="G231" s="44">
        <v>76</v>
      </c>
      <c r="H231" s="53">
        <f t="shared" si="38"/>
        <v>117.89473273855202</v>
      </c>
      <c r="I231" s="70">
        <v>1.0620000000000001</v>
      </c>
      <c r="J231" s="44">
        <f>K231*L231</f>
        <v>111.01198939600002</v>
      </c>
      <c r="K231" s="70">
        <v>1.0640000000000001</v>
      </c>
      <c r="L231" s="44">
        <f t="shared" si="55"/>
        <v>104.33457650000001</v>
      </c>
      <c r="M231" s="47">
        <v>1.07</v>
      </c>
      <c r="N231" s="44">
        <f t="shared" si="51"/>
        <v>97.508949999999999</v>
      </c>
      <c r="O231" s="70">
        <v>1.075</v>
      </c>
      <c r="P231" s="44">
        <f t="shared" si="37"/>
        <v>90.706000000000003</v>
      </c>
      <c r="Q231" s="70">
        <v>1.085</v>
      </c>
      <c r="R231" s="44">
        <f t="shared" si="52"/>
        <v>83.600000000000009</v>
      </c>
      <c r="S231" s="44">
        <f>G231*T231</f>
        <v>83.600000000000009</v>
      </c>
      <c r="T231" s="50">
        <v>1.1000000000000001</v>
      </c>
      <c r="U231" s="44">
        <f>I231*V231</f>
        <v>133.96850060012622</v>
      </c>
      <c r="V231" s="15">
        <f t="shared" si="53"/>
        <v>126.14736403025067</v>
      </c>
      <c r="W231" s="260">
        <f t="shared" si="54"/>
        <v>126.14736403025067</v>
      </c>
      <c r="X231" s="132">
        <f>161*106.5%</f>
        <v>171.465</v>
      </c>
    </row>
    <row r="232" spans="1:24" x14ac:dyDescent="0.25">
      <c r="A232" s="363"/>
      <c r="B232" s="33" t="s">
        <v>83</v>
      </c>
      <c r="C232" s="46"/>
      <c r="D232" s="47"/>
      <c r="E232" s="47"/>
      <c r="F232" s="47">
        <v>397</v>
      </c>
      <c r="G232" s="44">
        <v>437</v>
      </c>
      <c r="H232" s="53">
        <f t="shared" si="38"/>
        <v>677.89471324667409</v>
      </c>
      <c r="I232" s="70">
        <v>1.0620000000000001</v>
      </c>
      <c r="J232" s="44">
        <f>K232*L232</f>
        <v>638.31893902700006</v>
      </c>
      <c r="K232" s="70">
        <v>1.0640000000000001</v>
      </c>
      <c r="L232" s="44">
        <f t="shared" si="55"/>
        <v>599.92381487500006</v>
      </c>
      <c r="M232" s="47">
        <v>1.07</v>
      </c>
      <c r="N232" s="44">
        <f t="shared" si="51"/>
        <v>560.67646250000007</v>
      </c>
      <c r="O232" s="70">
        <v>1.075</v>
      </c>
      <c r="P232" s="44">
        <f t="shared" si="37"/>
        <v>521.55950000000007</v>
      </c>
      <c r="Q232" s="70">
        <v>1.085</v>
      </c>
      <c r="R232" s="44">
        <f t="shared" si="52"/>
        <v>480.70000000000005</v>
      </c>
      <c r="S232" s="44">
        <f>G232*T232</f>
        <v>480.70000000000005</v>
      </c>
      <c r="T232" s="50">
        <v>1.1000000000000001</v>
      </c>
      <c r="U232" s="44">
        <f>I232*V232</f>
        <v>770.31887845072572</v>
      </c>
      <c r="V232" s="15">
        <f t="shared" si="53"/>
        <v>725.34734317394134</v>
      </c>
      <c r="W232" s="260">
        <f t="shared" si="54"/>
        <v>725.34734317394134</v>
      </c>
      <c r="X232" s="132">
        <f>930*106.5%</f>
        <v>990.44999999999993</v>
      </c>
    </row>
    <row r="233" spans="1:24" x14ac:dyDescent="0.25">
      <c r="A233" s="363"/>
      <c r="B233" s="33" t="s">
        <v>364</v>
      </c>
      <c r="C233" s="46"/>
      <c r="D233" s="47"/>
      <c r="E233" s="47"/>
      <c r="F233" s="47"/>
      <c r="G233" s="44"/>
      <c r="H233" s="53">
        <f t="shared" si="38"/>
        <v>293.79167999999999</v>
      </c>
      <c r="I233" s="70">
        <v>1.0620000000000001</v>
      </c>
      <c r="J233" s="44">
        <f>K233*L233</f>
        <v>276.64</v>
      </c>
      <c r="K233" s="70">
        <v>1.0640000000000001</v>
      </c>
      <c r="L233" s="44">
        <v>260</v>
      </c>
      <c r="M233" s="47"/>
      <c r="N233" s="44"/>
      <c r="O233" s="70"/>
      <c r="P233" s="44"/>
      <c r="Q233" s="70"/>
      <c r="R233" s="44"/>
      <c r="S233" s="44"/>
      <c r="T233" s="50"/>
      <c r="U233" s="44"/>
      <c r="V233" s="15">
        <f t="shared" si="53"/>
        <v>314.35709759999997</v>
      </c>
      <c r="W233" s="260">
        <f t="shared" si="54"/>
        <v>314.35709759999997</v>
      </c>
      <c r="X233" s="132">
        <f>403*106.5%</f>
        <v>429.19499999999999</v>
      </c>
    </row>
    <row r="234" spans="1:24" s="18" customFormat="1" x14ac:dyDescent="0.25">
      <c r="A234" s="363"/>
      <c r="B234" s="33" t="s">
        <v>761</v>
      </c>
      <c r="C234" s="46"/>
      <c r="D234" s="47"/>
      <c r="E234" s="47"/>
      <c r="F234" s="47">
        <v>524</v>
      </c>
      <c r="G234" s="44">
        <v>50</v>
      </c>
      <c r="H234" s="53">
        <f t="shared" si="38"/>
        <v>894.93465600000013</v>
      </c>
      <c r="I234" s="70">
        <v>1.0620000000000001</v>
      </c>
      <c r="J234" s="44">
        <f t="shared" ref="J234:J248" si="56">K234*L234</f>
        <v>842.6880000000001</v>
      </c>
      <c r="K234" s="70">
        <v>1.0640000000000001</v>
      </c>
      <c r="L234" s="44">
        <v>792</v>
      </c>
      <c r="M234" s="47">
        <v>1.07</v>
      </c>
      <c r="N234" s="44" t="e">
        <f t="shared" si="51"/>
        <v>#REF!</v>
      </c>
      <c r="O234" s="70">
        <v>1.075</v>
      </c>
      <c r="P234" s="44" t="e">
        <f t="shared" si="37"/>
        <v>#REF!</v>
      </c>
      <c r="Q234" s="70">
        <v>1.085</v>
      </c>
      <c r="R234" s="44" t="e">
        <f t="shared" si="52"/>
        <v>#REF!</v>
      </c>
      <c r="S234" s="44" t="e">
        <f>#REF!*T234</f>
        <v>#REF!</v>
      </c>
      <c r="T234" s="45">
        <v>1.1000000000000001</v>
      </c>
      <c r="U234" s="44" t="e">
        <f>#REF!*V234</f>
        <v>#REF!</v>
      </c>
      <c r="V234" s="15">
        <f t="shared" si="53"/>
        <v>957.58008192000023</v>
      </c>
      <c r="W234" s="260">
        <f t="shared" si="54"/>
        <v>957.58008192000023</v>
      </c>
      <c r="X234" s="132">
        <f>1230*106.5%</f>
        <v>1309.95</v>
      </c>
    </row>
    <row r="235" spans="1:24" s="18" customFormat="1" x14ac:dyDescent="0.25">
      <c r="A235" s="284" t="s">
        <v>963</v>
      </c>
      <c r="B235" s="33" t="s">
        <v>964</v>
      </c>
      <c r="C235" s="46"/>
      <c r="D235" s="47"/>
      <c r="E235" s="47"/>
      <c r="F235" s="47"/>
      <c r="G235" s="44"/>
      <c r="H235" s="53"/>
      <c r="I235" s="70"/>
      <c r="J235" s="44"/>
      <c r="K235" s="70"/>
      <c r="L235" s="44"/>
      <c r="M235" s="47"/>
      <c r="N235" s="44"/>
      <c r="O235" s="70"/>
      <c r="P235" s="44"/>
      <c r="Q235" s="70"/>
      <c r="R235" s="44"/>
      <c r="S235" s="44"/>
      <c r="T235" s="45"/>
      <c r="U235" s="44"/>
      <c r="V235" s="15"/>
      <c r="W235" s="260"/>
      <c r="X235" s="132">
        <f>3832*106.5%</f>
        <v>4081.08</v>
      </c>
    </row>
    <row r="236" spans="1:24" x14ac:dyDescent="0.25">
      <c r="A236" s="128" t="s">
        <v>9</v>
      </c>
      <c r="B236" s="33" t="s">
        <v>763</v>
      </c>
      <c r="C236" s="46"/>
      <c r="D236" s="47"/>
      <c r="E236" s="47"/>
      <c r="F236" s="47">
        <v>786</v>
      </c>
      <c r="G236" s="44">
        <v>50</v>
      </c>
      <c r="H236" s="53">
        <f t="shared" si="38"/>
        <v>1341.2720160000001</v>
      </c>
      <c r="I236" s="70">
        <v>1.0620000000000001</v>
      </c>
      <c r="J236" s="44">
        <f t="shared" si="56"/>
        <v>1262.9680000000001</v>
      </c>
      <c r="K236" s="70">
        <v>1.0640000000000001</v>
      </c>
      <c r="L236" s="44">
        <v>1187</v>
      </c>
      <c r="M236" s="47">
        <v>1.07</v>
      </c>
      <c r="N236" s="44" t="e">
        <f t="shared" si="51"/>
        <v>#REF!</v>
      </c>
      <c r="O236" s="70">
        <v>1.075</v>
      </c>
      <c r="P236" s="44" t="e">
        <f t="shared" si="37"/>
        <v>#REF!</v>
      </c>
      <c r="Q236" s="70">
        <v>1.085</v>
      </c>
      <c r="R236" s="44" t="e">
        <f t="shared" si="52"/>
        <v>#REF!</v>
      </c>
      <c r="S236" s="44" t="e">
        <f>#REF!*T236</f>
        <v>#REF!</v>
      </c>
      <c r="T236" s="50">
        <v>1.1000000000000001</v>
      </c>
      <c r="U236" s="44" t="e">
        <f>#REF!*V236</f>
        <v>#REF!</v>
      </c>
      <c r="V236" s="15">
        <f t="shared" si="53"/>
        <v>1435.1610571200001</v>
      </c>
      <c r="W236" s="260">
        <f t="shared" si="54"/>
        <v>1435.1610571200001</v>
      </c>
      <c r="X236" s="132">
        <f>1840*106.5%</f>
        <v>1959.6</v>
      </c>
    </row>
    <row r="237" spans="1:24" x14ac:dyDescent="0.25">
      <c r="A237" s="128" t="s">
        <v>921</v>
      </c>
      <c r="B237" s="33" t="s">
        <v>922</v>
      </c>
      <c r="C237" s="46"/>
      <c r="D237" s="47"/>
      <c r="E237" s="47"/>
      <c r="F237" s="47"/>
      <c r="G237" s="44"/>
      <c r="H237" s="53"/>
      <c r="I237" s="70"/>
      <c r="J237" s="44"/>
      <c r="K237" s="70"/>
      <c r="L237" s="44"/>
      <c r="M237" s="47"/>
      <c r="N237" s="44"/>
      <c r="O237" s="70"/>
      <c r="P237" s="44"/>
      <c r="Q237" s="70"/>
      <c r="R237" s="44"/>
      <c r="S237" s="44"/>
      <c r="T237" s="50"/>
      <c r="U237" s="44"/>
      <c r="V237" s="15"/>
      <c r="W237" s="260"/>
      <c r="X237" s="132">
        <f>489*106.5%</f>
        <v>520.78499999999997</v>
      </c>
    </row>
    <row r="238" spans="1:24" x14ac:dyDescent="0.25">
      <c r="A238" s="128"/>
      <c r="B238" s="33" t="s">
        <v>923</v>
      </c>
      <c r="C238" s="46"/>
      <c r="D238" s="47"/>
      <c r="E238" s="47"/>
      <c r="F238" s="47"/>
      <c r="G238" s="44"/>
      <c r="H238" s="53"/>
      <c r="I238" s="70"/>
      <c r="J238" s="44"/>
      <c r="K238" s="70"/>
      <c r="L238" s="44"/>
      <c r="M238" s="47"/>
      <c r="N238" s="44"/>
      <c r="O238" s="70"/>
      <c r="P238" s="44"/>
      <c r="Q238" s="70"/>
      <c r="R238" s="44"/>
      <c r="S238" s="44"/>
      <c r="T238" s="50"/>
      <c r="U238" s="44"/>
      <c r="V238" s="15"/>
      <c r="W238" s="260"/>
      <c r="X238" s="132">
        <f>1466*106.5%</f>
        <v>1561.29</v>
      </c>
    </row>
    <row r="239" spans="1:24" x14ac:dyDescent="0.25">
      <c r="A239" s="128"/>
      <c r="B239" s="33" t="s">
        <v>924</v>
      </c>
      <c r="C239" s="46"/>
      <c r="D239" s="47"/>
      <c r="E239" s="47"/>
      <c r="F239" s="47"/>
      <c r="G239" s="44"/>
      <c r="H239" s="53"/>
      <c r="I239" s="70"/>
      <c r="J239" s="44"/>
      <c r="K239" s="70"/>
      <c r="L239" s="44"/>
      <c r="M239" s="47"/>
      <c r="N239" s="44"/>
      <c r="O239" s="70"/>
      <c r="P239" s="44"/>
      <c r="Q239" s="70"/>
      <c r="R239" s="44"/>
      <c r="S239" s="44"/>
      <c r="T239" s="50"/>
      <c r="U239" s="44"/>
      <c r="V239" s="15"/>
      <c r="W239" s="260"/>
      <c r="X239" s="132">
        <f>2829*106.5%</f>
        <v>3012.8849999999998</v>
      </c>
    </row>
    <row r="240" spans="1:24" x14ac:dyDescent="0.25">
      <c r="A240" s="128" t="s">
        <v>10</v>
      </c>
      <c r="B240" s="36" t="s">
        <v>762</v>
      </c>
      <c r="C240" s="46"/>
      <c r="D240" s="47"/>
      <c r="E240" s="47"/>
      <c r="F240" s="47">
        <v>480</v>
      </c>
      <c r="G240" s="44">
        <v>50</v>
      </c>
      <c r="H240" s="53">
        <f t="shared" si="38"/>
        <v>819.22680000000014</v>
      </c>
      <c r="I240" s="70">
        <v>1.0620000000000001</v>
      </c>
      <c r="J240" s="44">
        <f t="shared" si="56"/>
        <v>771.40000000000009</v>
      </c>
      <c r="K240" s="70">
        <v>1.0640000000000001</v>
      </c>
      <c r="L240" s="44">
        <v>725</v>
      </c>
      <c r="M240" s="47">
        <v>1.07</v>
      </c>
      <c r="N240" s="44" t="e">
        <f t="shared" si="51"/>
        <v>#REF!</v>
      </c>
      <c r="O240" s="70">
        <v>1.075</v>
      </c>
      <c r="P240" s="44" t="e">
        <f t="shared" si="37"/>
        <v>#REF!</v>
      </c>
      <c r="Q240" s="70">
        <v>1.085</v>
      </c>
      <c r="R240" s="44" t="e">
        <f t="shared" si="52"/>
        <v>#REF!</v>
      </c>
      <c r="S240" s="44" t="e">
        <f>#REF!*T240</f>
        <v>#REF!</v>
      </c>
      <c r="T240" s="50">
        <v>1.1000000000000001</v>
      </c>
      <c r="U240" s="44" t="e">
        <f>#REF!*V240</f>
        <v>#REF!</v>
      </c>
      <c r="V240" s="15">
        <f t="shared" si="53"/>
        <v>876.57267600000023</v>
      </c>
      <c r="W240" s="260">
        <f t="shared" si="54"/>
        <v>876.57267600000023</v>
      </c>
      <c r="X240" s="132">
        <f>1124*106.5%</f>
        <v>1197.06</v>
      </c>
    </row>
    <row r="241" spans="1:24" x14ac:dyDescent="0.25">
      <c r="A241" s="128" t="s">
        <v>11</v>
      </c>
      <c r="B241" s="36" t="s">
        <v>88</v>
      </c>
      <c r="C241" s="46"/>
      <c r="D241" s="47"/>
      <c r="E241" s="47"/>
      <c r="F241" s="47">
        <v>32</v>
      </c>
      <c r="G241" s="44">
        <v>35</v>
      </c>
      <c r="H241" s="53">
        <f t="shared" si="38"/>
        <v>54.293626919070014</v>
      </c>
      <c r="I241" s="70">
        <v>1.0620000000000001</v>
      </c>
      <c r="J241" s="44">
        <f t="shared" si="56"/>
        <v>51.123942485000008</v>
      </c>
      <c r="K241" s="70">
        <v>1.0640000000000001</v>
      </c>
      <c r="L241" s="44">
        <f t="shared" si="55"/>
        <v>48.048818125000004</v>
      </c>
      <c r="M241" s="47">
        <v>1.07</v>
      </c>
      <c r="N241" s="44">
        <f t="shared" si="51"/>
        <v>44.905437499999998</v>
      </c>
      <c r="O241" s="70">
        <v>1.075</v>
      </c>
      <c r="P241" s="44">
        <f t="shared" si="37"/>
        <v>41.772500000000001</v>
      </c>
      <c r="Q241" s="70">
        <v>1.085</v>
      </c>
      <c r="R241" s="44">
        <f t="shared" si="52"/>
        <v>38.5</v>
      </c>
      <c r="S241" s="44">
        <f t="shared" ref="S241:U248" si="57">G241*T241</f>
        <v>38.5</v>
      </c>
      <c r="T241" s="50">
        <v>1.1000000000000001</v>
      </c>
      <c r="U241" s="44">
        <f t="shared" si="57"/>
        <v>61.696020013216028</v>
      </c>
      <c r="V241" s="15">
        <f t="shared" si="53"/>
        <v>58.094180803404917</v>
      </c>
      <c r="W241" s="260">
        <f t="shared" si="54"/>
        <v>58.094180803404917</v>
      </c>
      <c r="X241" s="132">
        <f>75*106.5%</f>
        <v>79.875</v>
      </c>
    </row>
    <row r="242" spans="1:24" x14ac:dyDescent="0.25">
      <c r="A242" s="128" t="s">
        <v>925</v>
      </c>
      <c r="B242" s="36" t="s">
        <v>926</v>
      </c>
      <c r="C242" s="46"/>
      <c r="D242" s="47"/>
      <c r="E242" s="47"/>
      <c r="F242" s="47"/>
      <c r="G242" s="44"/>
      <c r="H242" s="53"/>
      <c r="I242" s="70"/>
      <c r="J242" s="44"/>
      <c r="K242" s="70"/>
      <c r="L242" s="44"/>
      <c r="M242" s="47"/>
      <c r="N242" s="44"/>
      <c r="O242" s="70"/>
      <c r="P242" s="44"/>
      <c r="Q242" s="70"/>
      <c r="R242" s="44"/>
      <c r="S242" s="44"/>
      <c r="T242" s="50"/>
      <c r="U242" s="44"/>
      <c r="V242" s="15"/>
      <c r="W242" s="260"/>
      <c r="X242" s="132">
        <f>2982*106.5%</f>
        <v>3175.83</v>
      </c>
    </row>
    <row r="243" spans="1:24" x14ac:dyDescent="0.25">
      <c r="A243" s="128" t="s">
        <v>100</v>
      </c>
      <c r="B243" s="36" t="s">
        <v>746</v>
      </c>
      <c r="C243" s="46"/>
      <c r="D243" s="47"/>
      <c r="E243" s="47"/>
      <c r="F243" s="47">
        <v>29</v>
      </c>
      <c r="G243" s="44">
        <v>32</v>
      </c>
      <c r="H243" s="53">
        <f t="shared" si="38"/>
        <v>49.639887468864011</v>
      </c>
      <c r="I243" s="70">
        <v>1.0620000000000001</v>
      </c>
      <c r="J243" s="44">
        <f t="shared" si="56"/>
        <v>46.741890272000006</v>
      </c>
      <c r="K243" s="70">
        <v>1.0640000000000001</v>
      </c>
      <c r="L243" s="44">
        <f t="shared" si="55"/>
        <v>43.930348000000002</v>
      </c>
      <c r="M243" s="47">
        <v>1.07</v>
      </c>
      <c r="N243" s="44">
        <f t="shared" si="51"/>
        <v>41.056399999999996</v>
      </c>
      <c r="O243" s="70">
        <v>1.075</v>
      </c>
      <c r="P243" s="44">
        <f t="shared" si="37"/>
        <v>38.192</v>
      </c>
      <c r="Q243" s="70">
        <v>1.085</v>
      </c>
      <c r="R243" s="44">
        <f t="shared" si="52"/>
        <v>35.200000000000003</v>
      </c>
      <c r="S243" s="44">
        <f t="shared" si="57"/>
        <v>35.200000000000003</v>
      </c>
      <c r="T243" s="50">
        <v>1.1000000000000001</v>
      </c>
      <c r="U243" s="44">
        <f t="shared" si="57"/>
        <v>56.407789726368932</v>
      </c>
      <c r="V243" s="15">
        <f t="shared" si="53"/>
        <v>53.114679591684492</v>
      </c>
      <c r="W243" s="260">
        <f t="shared" si="54"/>
        <v>53.114679591684492</v>
      </c>
      <c r="X243" s="132">
        <f>69*106.5%</f>
        <v>73.484999999999999</v>
      </c>
    </row>
    <row r="244" spans="1:24" x14ac:dyDescent="0.25">
      <c r="A244" s="128" t="s">
        <v>927</v>
      </c>
      <c r="B244" s="36" t="s">
        <v>928</v>
      </c>
      <c r="C244" s="46"/>
      <c r="D244" s="47"/>
      <c r="E244" s="47"/>
      <c r="F244" s="47"/>
      <c r="G244" s="44"/>
      <c r="H244" s="53"/>
      <c r="I244" s="70"/>
      <c r="J244" s="44"/>
      <c r="K244" s="70"/>
      <c r="L244" s="44"/>
      <c r="M244" s="47"/>
      <c r="N244" s="44"/>
      <c r="O244" s="70"/>
      <c r="P244" s="44"/>
      <c r="Q244" s="70"/>
      <c r="R244" s="44"/>
      <c r="S244" s="44"/>
      <c r="T244" s="50"/>
      <c r="U244" s="44"/>
      <c r="V244" s="15"/>
      <c r="W244" s="260"/>
      <c r="X244" s="132">
        <f>2725*106.5%</f>
        <v>2902.125</v>
      </c>
    </row>
    <row r="245" spans="1:24" x14ac:dyDescent="0.25">
      <c r="A245" s="54" t="s">
        <v>101</v>
      </c>
      <c r="B245" s="36" t="s">
        <v>744</v>
      </c>
      <c r="C245" s="46">
        <v>430</v>
      </c>
      <c r="D245" s="47">
        <v>455.02600000000001</v>
      </c>
      <c r="E245" s="47">
        <f>ROUND(D245,0)</f>
        <v>455</v>
      </c>
      <c r="F245" s="47">
        <f>E245*1.092</f>
        <v>496.86</v>
      </c>
      <c r="G245" s="44">
        <v>547</v>
      </c>
      <c r="H245" s="53">
        <f t="shared" si="38"/>
        <v>848.53182642089416</v>
      </c>
      <c r="I245" s="70">
        <v>1.0620000000000001</v>
      </c>
      <c r="J245" s="44">
        <f t="shared" si="56"/>
        <v>798.99418683700014</v>
      </c>
      <c r="K245" s="70">
        <v>1.0640000000000001</v>
      </c>
      <c r="L245" s="44">
        <f t="shared" si="55"/>
        <v>750.93438612500006</v>
      </c>
      <c r="M245" s="47">
        <v>1.07</v>
      </c>
      <c r="N245" s="44">
        <f t="shared" si="51"/>
        <v>701.80783750000001</v>
      </c>
      <c r="O245" s="70">
        <v>1.075</v>
      </c>
      <c r="P245" s="44">
        <f t="shared" si="37"/>
        <v>652.84450000000004</v>
      </c>
      <c r="Q245" s="70">
        <v>1.085</v>
      </c>
      <c r="R245" s="44">
        <f t="shared" si="52"/>
        <v>601.70000000000005</v>
      </c>
      <c r="S245" s="44">
        <f t="shared" si="57"/>
        <v>601.70000000000005</v>
      </c>
      <c r="T245" s="50">
        <v>1.1000000000000001</v>
      </c>
      <c r="U245" s="44">
        <f t="shared" si="57"/>
        <v>964.22065563511899</v>
      </c>
      <c r="V245" s="15">
        <f t="shared" si="53"/>
        <v>907.9290542703568</v>
      </c>
      <c r="W245" s="260">
        <f t="shared" si="54"/>
        <v>907.9290542703568</v>
      </c>
      <c r="X245" s="132">
        <f>1164*106.5%</f>
        <v>1239.6599999999999</v>
      </c>
    </row>
    <row r="246" spans="1:24" x14ac:dyDescent="0.25">
      <c r="A246" s="128" t="s">
        <v>102</v>
      </c>
      <c r="B246" s="36" t="s">
        <v>745</v>
      </c>
      <c r="C246" s="46">
        <v>441</v>
      </c>
      <c r="D246" s="47">
        <v>466.6662</v>
      </c>
      <c r="E246" s="47">
        <f>ROUND(D246,0)</f>
        <v>467</v>
      </c>
      <c r="F246" s="47">
        <f>E246*1.092</f>
        <v>509.96400000000006</v>
      </c>
      <c r="G246" s="44">
        <v>561</v>
      </c>
      <c r="H246" s="53">
        <f t="shared" si="38"/>
        <v>870.24927718852211</v>
      </c>
      <c r="I246" s="70">
        <v>1.0620000000000001</v>
      </c>
      <c r="J246" s="44">
        <f t="shared" si="56"/>
        <v>819.44376383100007</v>
      </c>
      <c r="K246" s="70">
        <v>1.0640000000000001</v>
      </c>
      <c r="L246" s="44">
        <f t="shared" si="55"/>
        <v>770.153913375</v>
      </c>
      <c r="M246" s="47">
        <v>1.07</v>
      </c>
      <c r="N246" s="44">
        <f t="shared" si="51"/>
        <v>719.77001250000001</v>
      </c>
      <c r="O246" s="70">
        <v>1.075</v>
      </c>
      <c r="P246" s="44">
        <f>Q246*R246</f>
        <v>669.55349999999999</v>
      </c>
      <c r="Q246" s="70">
        <v>1.085</v>
      </c>
      <c r="R246" s="44">
        <f t="shared" si="52"/>
        <v>617.1</v>
      </c>
      <c r="S246" s="44">
        <f t="shared" si="57"/>
        <v>617.1</v>
      </c>
      <c r="T246" s="50">
        <v>1.1000000000000001</v>
      </c>
      <c r="U246" s="44">
        <f t="shared" si="57"/>
        <v>988.89906364040542</v>
      </c>
      <c r="V246" s="15">
        <f t="shared" si="53"/>
        <v>931.16672659171877</v>
      </c>
      <c r="W246" s="260">
        <f t="shared" si="54"/>
        <v>931.16672659171877</v>
      </c>
      <c r="X246" s="132">
        <f>1193*106.5%</f>
        <v>1270.5449999999998</v>
      </c>
    </row>
    <row r="247" spans="1:24" x14ac:dyDescent="0.25">
      <c r="A247" s="128" t="s">
        <v>103</v>
      </c>
      <c r="B247" s="36" t="s">
        <v>622</v>
      </c>
      <c r="C247" s="46">
        <v>44.2</v>
      </c>
      <c r="D247" s="47">
        <v>46.772440000000003</v>
      </c>
      <c r="E247" s="47">
        <f>ROUND(D247,0)</f>
        <v>47</v>
      </c>
      <c r="F247" s="47">
        <f>E247*1.092</f>
        <v>51.324000000000005</v>
      </c>
      <c r="G247" s="44">
        <v>56</v>
      </c>
      <c r="H247" s="53">
        <f t="shared" si="38"/>
        <v>86.86980307051202</v>
      </c>
      <c r="I247" s="70">
        <v>1.0620000000000001</v>
      </c>
      <c r="J247" s="44">
        <f t="shared" si="56"/>
        <v>81.798307976000018</v>
      </c>
      <c r="K247" s="70">
        <v>1.0640000000000001</v>
      </c>
      <c r="L247" s="44">
        <f t="shared" si="55"/>
        <v>76.878109000000009</v>
      </c>
      <c r="M247" s="47">
        <v>1.07</v>
      </c>
      <c r="N247" s="44">
        <f t="shared" si="51"/>
        <v>71.848700000000008</v>
      </c>
      <c r="O247" s="70">
        <v>1.075</v>
      </c>
      <c r="P247" s="44">
        <f>Q247*R247</f>
        <v>66.836000000000013</v>
      </c>
      <c r="Q247" s="70">
        <v>1.085</v>
      </c>
      <c r="R247" s="44">
        <f t="shared" si="52"/>
        <v>61.600000000000009</v>
      </c>
      <c r="S247" s="44">
        <f t="shared" si="57"/>
        <v>61.600000000000009</v>
      </c>
      <c r="T247" s="50">
        <v>1.1000000000000001</v>
      </c>
      <c r="U247" s="44">
        <f t="shared" si="57"/>
        <v>98.713632021145642</v>
      </c>
      <c r="V247" s="15">
        <f t="shared" si="53"/>
        <v>92.950689285447865</v>
      </c>
      <c r="W247" s="260">
        <f t="shared" si="54"/>
        <v>92.950689285447865</v>
      </c>
      <c r="X247" s="132">
        <f>118*106.5%</f>
        <v>125.66999999999999</v>
      </c>
    </row>
    <row r="248" spans="1:24" ht="30" x14ac:dyDescent="0.2">
      <c r="A248" s="128" t="s">
        <v>12</v>
      </c>
      <c r="B248" s="36" t="s">
        <v>747</v>
      </c>
      <c r="C248" s="46">
        <v>142</v>
      </c>
      <c r="D248" s="47">
        <v>150.26439999999999</v>
      </c>
      <c r="E248" s="47">
        <f>ROUND(D248,0)</f>
        <v>150</v>
      </c>
      <c r="F248" s="47">
        <f>E248*1.092</f>
        <v>163.80000000000001</v>
      </c>
      <c r="G248" s="44">
        <v>180</v>
      </c>
      <c r="H248" s="198">
        <f t="shared" si="38"/>
        <v>279.22436701236006</v>
      </c>
      <c r="I248" s="70">
        <v>1.0620000000000001</v>
      </c>
      <c r="J248" s="44">
        <f t="shared" si="56"/>
        <v>262.92313278000006</v>
      </c>
      <c r="K248" s="70">
        <v>1.0640000000000001</v>
      </c>
      <c r="L248" s="44">
        <f t="shared" si="55"/>
        <v>247.10820750000002</v>
      </c>
      <c r="M248" s="47">
        <v>1.07</v>
      </c>
      <c r="N248" s="44">
        <f t="shared" si="51"/>
        <v>230.94225</v>
      </c>
      <c r="O248" s="70">
        <v>1.075</v>
      </c>
      <c r="P248" s="44">
        <f>Q248*R248</f>
        <v>214.83</v>
      </c>
      <c r="Q248" s="70">
        <v>1.085</v>
      </c>
      <c r="R248" s="44">
        <f t="shared" si="52"/>
        <v>198.00000000000003</v>
      </c>
      <c r="S248" s="44">
        <f t="shared" si="57"/>
        <v>198.00000000000003</v>
      </c>
      <c r="T248" s="50">
        <v>1.1000000000000001</v>
      </c>
      <c r="U248" s="44">
        <f t="shared" si="57"/>
        <v>317.2938172108253</v>
      </c>
      <c r="V248" s="203">
        <f t="shared" si="53"/>
        <v>298.77007270322531</v>
      </c>
      <c r="W248" s="266">
        <f t="shared" si="54"/>
        <v>298.77007270322531</v>
      </c>
      <c r="X248" s="132">
        <f>382*106.5%</f>
        <v>406.83</v>
      </c>
    </row>
    <row r="249" spans="1:24" x14ac:dyDescent="0.25">
      <c r="A249" s="362" t="s">
        <v>609</v>
      </c>
      <c r="B249" s="356" t="s">
        <v>84</v>
      </c>
      <c r="C249" s="357"/>
      <c r="D249" s="357"/>
      <c r="E249" s="357"/>
      <c r="F249" s="357"/>
      <c r="G249" s="357"/>
      <c r="H249" s="357"/>
      <c r="I249" s="357"/>
      <c r="J249" s="358"/>
      <c r="K249" s="47"/>
      <c r="L249" s="44"/>
      <c r="M249" s="47"/>
      <c r="N249" s="44"/>
      <c r="O249" s="70"/>
      <c r="P249" s="44"/>
      <c r="Q249" s="70"/>
      <c r="R249" s="44"/>
      <c r="S249" s="44"/>
      <c r="T249" s="50"/>
      <c r="U249" s="44"/>
      <c r="V249" s="15"/>
      <c r="X249" s="132"/>
    </row>
    <row r="250" spans="1:24" x14ac:dyDescent="0.25">
      <c r="A250" s="363"/>
      <c r="B250" s="104" t="s">
        <v>85</v>
      </c>
      <c r="C250" s="46">
        <v>88.6</v>
      </c>
      <c r="D250" s="47">
        <v>93.756519999999995</v>
      </c>
      <c r="E250" s="47">
        <f>ROUND(D250,0)</f>
        <v>94</v>
      </c>
      <c r="F250" s="47">
        <f t="shared" ref="F250:F261" si="58">E250*1.092</f>
        <v>102.64800000000001</v>
      </c>
      <c r="G250" s="44">
        <v>113</v>
      </c>
      <c r="H250" s="53">
        <f t="shared" si="38"/>
        <v>175.29085262442601</v>
      </c>
      <c r="I250" s="70">
        <v>1.0620000000000001</v>
      </c>
      <c r="J250" s="44">
        <f t="shared" ref="J250:J261" si="59">K250*L250</f>
        <v>165.05730002300001</v>
      </c>
      <c r="K250" s="70">
        <v>1.0640000000000001</v>
      </c>
      <c r="L250" s="44">
        <f t="shared" si="55"/>
        <v>155.12904137500001</v>
      </c>
      <c r="M250" s="47">
        <v>1.07</v>
      </c>
      <c r="N250" s="44">
        <f t="shared" ref="N250:N261" si="60">O250*P250</f>
        <v>144.9804125</v>
      </c>
      <c r="O250" s="70">
        <v>1.075</v>
      </c>
      <c r="P250" s="44">
        <f t="shared" ref="P250:P261" si="61">Q250*R250</f>
        <v>134.8655</v>
      </c>
      <c r="Q250" s="70">
        <v>1.085</v>
      </c>
      <c r="R250" s="44">
        <f t="shared" ref="R250:R261" si="62">S250</f>
        <v>124.30000000000001</v>
      </c>
      <c r="S250" s="44">
        <f t="shared" ref="S250:U261" si="63">G250*T250</f>
        <v>124.30000000000001</v>
      </c>
      <c r="T250" s="50">
        <v>1.1000000000000001</v>
      </c>
      <c r="U250" s="44">
        <f t="shared" si="63"/>
        <v>199.19000747124028</v>
      </c>
      <c r="V250" s="15">
        <f t="shared" si="53"/>
        <v>187.56121230813585</v>
      </c>
      <c r="W250" s="260">
        <f t="shared" si="54"/>
        <v>187.56121230813585</v>
      </c>
      <c r="X250" s="132">
        <f>241*106.5%</f>
        <v>256.66499999999996</v>
      </c>
    </row>
    <row r="251" spans="1:24" ht="14.1" customHeight="1" x14ac:dyDescent="0.25">
      <c r="A251" s="363"/>
      <c r="B251" s="104" t="s">
        <v>86</v>
      </c>
      <c r="C251" s="46">
        <v>152</v>
      </c>
      <c r="D251" s="47">
        <v>160.84640000000002</v>
      </c>
      <c r="E251" s="47">
        <f>ROUND(D251,0)</f>
        <v>161</v>
      </c>
      <c r="F251" s="47">
        <f t="shared" si="58"/>
        <v>175.81200000000001</v>
      </c>
      <c r="G251" s="44">
        <v>194</v>
      </c>
      <c r="H251" s="53">
        <f>J251*I251</f>
        <v>300.94181777998801</v>
      </c>
      <c r="I251" s="70">
        <v>1.0620000000000001</v>
      </c>
      <c r="J251" s="44">
        <f t="shared" si="59"/>
        <v>283.37270977399999</v>
      </c>
      <c r="K251" s="70">
        <v>1.0640000000000001</v>
      </c>
      <c r="L251" s="44">
        <f t="shared" si="55"/>
        <v>266.32773474999999</v>
      </c>
      <c r="M251" s="47">
        <v>1.07</v>
      </c>
      <c r="N251" s="44">
        <f t="shared" si="60"/>
        <v>248.90442499999997</v>
      </c>
      <c r="O251" s="70">
        <v>1.075</v>
      </c>
      <c r="P251" s="44">
        <f t="shared" si="61"/>
        <v>231.53899999999999</v>
      </c>
      <c r="Q251" s="70">
        <v>1.085</v>
      </c>
      <c r="R251" s="44">
        <f t="shared" si="62"/>
        <v>213.4</v>
      </c>
      <c r="S251" s="44">
        <f t="shared" si="63"/>
        <v>213.4</v>
      </c>
      <c r="T251" s="50">
        <v>1.1000000000000001</v>
      </c>
      <c r="U251" s="44">
        <f t="shared" si="63"/>
        <v>341.97222521611161</v>
      </c>
      <c r="V251" s="15">
        <f t="shared" si="53"/>
        <v>322.00774502458717</v>
      </c>
      <c r="W251" s="260">
        <f t="shared" si="54"/>
        <v>322.00774502458717</v>
      </c>
      <c r="X251" s="132">
        <f>412*106.5%</f>
        <v>438.78</v>
      </c>
    </row>
    <row r="252" spans="1:24" ht="14.1" customHeight="1" x14ac:dyDescent="0.25">
      <c r="A252" s="363"/>
      <c r="B252" s="104" t="s">
        <v>87</v>
      </c>
      <c r="C252" s="46">
        <v>278</v>
      </c>
      <c r="D252" s="47">
        <v>294.17959999999999</v>
      </c>
      <c r="E252" s="47">
        <f>ROUND(D252,0)</f>
        <v>294</v>
      </c>
      <c r="F252" s="47">
        <f t="shared" si="58"/>
        <v>321.048</v>
      </c>
      <c r="G252" s="44">
        <v>353</v>
      </c>
      <c r="H252" s="53">
        <f>J252*I252</f>
        <v>547.59000864090603</v>
      </c>
      <c r="I252" s="70">
        <v>1.0620000000000001</v>
      </c>
      <c r="J252" s="44">
        <f t="shared" si="59"/>
        <v>515.62147706300004</v>
      </c>
      <c r="K252" s="70">
        <v>1.0640000000000001</v>
      </c>
      <c r="L252" s="44">
        <f t="shared" si="55"/>
        <v>484.60665137500001</v>
      </c>
      <c r="M252" s="47">
        <v>1.07</v>
      </c>
      <c r="N252" s="44">
        <f t="shared" si="60"/>
        <v>452.9034125</v>
      </c>
      <c r="O252" s="70">
        <v>1.075</v>
      </c>
      <c r="P252" s="44">
        <f t="shared" si="61"/>
        <v>421.30549999999999</v>
      </c>
      <c r="Q252" s="70">
        <v>1.085</v>
      </c>
      <c r="R252" s="44">
        <f t="shared" si="62"/>
        <v>388.3</v>
      </c>
      <c r="S252" s="44">
        <f t="shared" si="63"/>
        <v>388.3</v>
      </c>
      <c r="T252" s="50">
        <v>1.1000000000000001</v>
      </c>
      <c r="U252" s="44">
        <f t="shared" si="63"/>
        <v>622.24843041900726</v>
      </c>
      <c r="V252" s="15">
        <f t="shared" si="53"/>
        <v>585.92130924576952</v>
      </c>
      <c r="W252" s="260">
        <f t="shared" si="54"/>
        <v>585.92130924576952</v>
      </c>
      <c r="X252" s="132">
        <f>751*106.5%</f>
        <v>799.81499999999994</v>
      </c>
    </row>
    <row r="253" spans="1:24" ht="28.35" customHeight="1" x14ac:dyDescent="0.25">
      <c r="A253" s="362" t="s">
        <v>929</v>
      </c>
      <c r="B253" s="356" t="s">
        <v>930</v>
      </c>
      <c r="C253" s="357"/>
      <c r="D253" s="357"/>
      <c r="E253" s="357"/>
      <c r="F253" s="357"/>
      <c r="G253" s="357"/>
      <c r="H253" s="357"/>
      <c r="I253" s="357"/>
      <c r="J253" s="358"/>
      <c r="K253" s="70"/>
      <c r="L253" s="44"/>
      <c r="M253" s="47"/>
      <c r="N253" s="44"/>
      <c r="O253" s="70"/>
      <c r="P253" s="44"/>
      <c r="Q253" s="70"/>
      <c r="R253" s="44"/>
      <c r="S253" s="44"/>
      <c r="T253" s="50"/>
      <c r="U253" s="44"/>
      <c r="V253" s="15"/>
      <c r="W253" s="260"/>
      <c r="X253" s="132"/>
    </row>
    <row r="254" spans="1:24" ht="14.1" customHeight="1" x14ac:dyDescent="0.25">
      <c r="A254" s="363"/>
      <c r="B254" s="104" t="s">
        <v>85</v>
      </c>
      <c r="C254" s="46">
        <v>88.6</v>
      </c>
      <c r="D254" s="47">
        <v>93.756519999999995</v>
      </c>
      <c r="E254" s="47">
        <f>ROUND(D254,0)</f>
        <v>94</v>
      </c>
      <c r="F254" s="47">
        <f t="shared" ref="F254:F256" si="64">E254*1.092</f>
        <v>102.64800000000001</v>
      </c>
      <c r="G254" s="44">
        <v>113</v>
      </c>
      <c r="H254" s="53">
        <f t="shared" ref="H254" si="65">J254*I254</f>
        <v>0</v>
      </c>
      <c r="I254" s="70">
        <v>1.0620000000000001</v>
      </c>
      <c r="J254" s="44">
        <f t="shared" ref="J254:J256" si="66">K254*L254</f>
        <v>0</v>
      </c>
      <c r="K254" s="70"/>
      <c r="L254" s="44"/>
      <c r="M254" s="47"/>
      <c r="N254" s="44"/>
      <c r="O254" s="70"/>
      <c r="P254" s="44"/>
      <c r="Q254" s="70"/>
      <c r="R254" s="44"/>
      <c r="S254" s="44"/>
      <c r="T254" s="50"/>
      <c r="U254" s="44"/>
      <c r="V254" s="15"/>
      <c r="W254" s="260"/>
      <c r="X254" s="132">
        <f>1691*106.5%</f>
        <v>1800.915</v>
      </c>
    </row>
    <row r="255" spans="1:24" ht="14.1" customHeight="1" x14ac:dyDescent="0.25">
      <c r="A255" s="363"/>
      <c r="B255" s="104" t="s">
        <v>86</v>
      </c>
      <c r="C255" s="46">
        <v>152</v>
      </c>
      <c r="D255" s="47">
        <v>160.84640000000002</v>
      </c>
      <c r="E255" s="47">
        <f>ROUND(D255,0)</f>
        <v>161</v>
      </c>
      <c r="F255" s="47">
        <f t="shared" si="64"/>
        <v>175.81200000000001</v>
      </c>
      <c r="G255" s="44">
        <v>194</v>
      </c>
      <c r="H255" s="53">
        <f>J255*I255</f>
        <v>0</v>
      </c>
      <c r="I255" s="70">
        <v>1.0620000000000001</v>
      </c>
      <c r="J255" s="44">
        <f t="shared" si="66"/>
        <v>0</v>
      </c>
      <c r="K255" s="70"/>
      <c r="L255" s="44"/>
      <c r="M255" s="47"/>
      <c r="N255" s="44"/>
      <c r="O255" s="70"/>
      <c r="P255" s="44"/>
      <c r="Q255" s="70"/>
      <c r="R255" s="44"/>
      <c r="S255" s="44"/>
      <c r="T255" s="50"/>
      <c r="U255" s="44"/>
      <c r="V255" s="15"/>
      <c r="W255" s="260"/>
      <c r="X255" s="132">
        <f>3324*106.5%</f>
        <v>3540.06</v>
      </c>
    </row>
    <row r="256" spans="1:24" ht="14.1" customHeight="1" x14ac:dyDescent="0.25">
      <c r="A256" s="363"/>
      <c r="B256" s="104" t="s">
        <v>87</v>
      </c>
      <c r="C256" s="46">
        <v>278</v>
      </c>
      <c r="D256" s="47">
        <v>294.17959999999999</v>
      </c>
      <c r="E256" s="47">
        <f>ROUND(D256,0)</f>
        <v>294</v>
      </c>
      <c r="F256" s="47">
        <f t="shared" si="64"/>
        <v>321.048</v>
      </c>
      <c r="G256" s="44">
        <v>353</v>
      </c>
      <c r="H256" s="53">
        <f>J256*I256</f>
        <v>0</v>
      </c>
      <c r="I256" s="70">
        <v>1.0620000000000001</v>
      </c>
      <c r="J256" s="44">
        <f t="shared" si="66"/>
        <v>0</v>
      </c>
      <c r="K256" s="70"/>
      <c r="L256" s="44"/>
      <c r="M256" s="47"/>
      <c r="N256" s="44"/>
      <c r="O256" s="70"/>
      <c r="P256" s="44"/>
      <c r="Q256" s="70"/>
      <c r="R256" s="44"/>
      <c r="S256" s="44"/>
      <c r="T256" s="50"/>
      <c r="U256" s="44"/>
      <c r="V256" s="15"/>
      <c r="W256" s="260"/>
      <c r="X256" s="132">
        <f>3362*106.5%</f>
        <v>3580.5299999999997</v>
      </c>
    </row>
    <row r="257" spans="1:24" ht="14.1" customHeight="1" x14ac:dyDescent="0.25">
      <c r="A257" s="284" t="s">
        <v>965</v>
      </c>
      <c r="B257" s="104" t="s">
        <v>966</v>
      </c>
      <c r="C257" s="46"/>
      <c r="D257" s="47"/>
      <c r="E257" s="47"/>
      <c r="F257" s="47"/>
      <c r="G257" s="44"/>
      <c r="H257" s="53"/>
      <c r="I257" s="70"/>
      <c r="J257" s="44"/>
      <c r="K257" s="70"/>
      <c r="L257" s="44"/>
      <c r="M257" s="47"/>
      <c r="N257" s="44"/>
      <c r="O257" s="70"/>
      <c r="P257" s="44"/>
      <c r="Q257" s="70"/>
      <c r="R257" s="44"/>
      <c r="S257" s="44"/>
      <c r="T257" s="50"/>
      <c r="U257" s="44"/>
      <c r="V257" s="15"/>
      <c r="W257" s="260"/>
      <c r="X257" s="132">
        <f>6564*106.5%</f>
        <v>6990.66</v>
      </c>
    </row>
    <row r="258" spans="1:24" ht="14.1" customHeight="1" x14ac:dyDescent="0.25">
      <c r="A258" s="284" t="s">
        <v>967</v>
      </c>
      <c r="B258" s="104" t="s">
        <v>968</v>
      </c>
      <c r="C258" s="46"/>
      <c r="D258" s="47"/>
      <c r="E258" s="47"/>
      <c r="F258" s="47"/>
      <c r="G258" s="44"/>
      <c r="H258" s="53"/>
      <c r="I258" s="70"/>
      <c r="J258" s="44"/>
      <c r="K258" s="70"/>
      <c r="L258" s="44"/>
      <c r="M258" s="47"/>
      <c r="N258" s="44"/>
      <c r="O258" s="70"/>
      <c r="P258" s="44"/>
      <c r="Q258" s="70"/>
      <c r="R258" s="44"/>
      <c r="S258" s="44"/>
      <c r="T258" s="50"/>
      <c r="U258" s="44"/>
      <c r="V258" s="15"/>
      <c r="W258" s="260"/>
      <c r="X258" s="132">
        <f>9466*106.5%</f>
        <v>10081.289999999999</v>
      </c>
    </row>
    <row r="259" spans="1:24" ht="14.1" customHeight="1" x14ac:dyDescent="0.25">
      <c r="A259" s="128" t="s">
        <v>104</v>
      </c>
      <c r="B259" s="289" t="s">
        <v>625</v>
      </c>
      <c r="C259" s="46">
        <v>130</v>
      </c>
      <c r="D259" s="47">
        <v>137.566</v>
      </c>
      <c r="E259" s="47">
        <f>ROUND(D259,0)</f>
        <v>138</v>
      </c>
      <c r="F259" s="47">
        <f t="shared" si="58"/>
        <v>150.696</v>
      </c>
      <c r="G259" s="44">
        <v>166</v>
      </c>
      <c r="H259" s="53">
        <f>J259*I259</f>
        <v>257.50691624473205</v>
      </c>
      <c r="I259" s="70">
        <v>1.0620000000000001</v>
      </c>
      <c r="J259" s="44">
        <f t="shared" si="59"/>
        <v>242.47355578600005</v>
      </c>
      <c r="K259" s="70">
        <v>1.0640000000000001</v>
      </c>
      <c r="L259" s="44">
        <f t="shared" si="55"/>
        <v>227.88868025000002</v>
      </c>
      <c r="M259" s="47">
        <v>1.07</v>
      </c>
      <c r="N259" s="44">
        <f t="shared" si="60"/>
        <v>212.980075</v>
      </c>
      <c r="O259" s="70">
        <v>1.075</v>
      </c>
      <c r="P259" s="44">
        <f t="shared" si="61"/>
        <v>198.12100000000001</v>
      </c>
      <c r="Q259" s="70">
        <v>1.085</v>
      </c>
      <c r="R259" s="44">
        <f t="shared" si="62"/>
        <v>182.60000000000002</v>
      </c>
      <c r="S259" s="44">
        <f t="shared" si="63"/>
        <v>182.60000000000002</v>
      </c>
      <c r="T259" s="50">
        <v>1.1000000000000001</v>
      </c>
      <c r="U259" s="44">
        <f t="shared" si="63"/>
        <v>292.61540920553887</v>
      </c>
      <c r="V259" s="15">
        <f t="shared" si="53"/>
        <v>275.53240038186334</v>
      </c>
      <c r="W259" s="260">
        <f t="shared" si="54"/>
        <v>275.53240038186334</v>
      </c>
      <c r="X259" s="132">
        <f>353*106.5%</f>
        <v>375.94499999999999</v>
      </c>
    </row>
    <row r="260" spans="1:24" ht="14.1" customHeight="1" x14ac:dyDescent="0.25">
      <c r="A260" s="128" t="s">
        <v>105</v>
      </c>
      <c r="B260" s="291" t="s">
        <v>748</v>
      </c>
      <c r="C260" s="46">
        <v>60.3</v>
      </c>
      <c r="D260" s="47">
        <v>63.809460000000001</v>
      </c>
      <c r="E260" s="47">
        <f>ROUND(D260,0)</f>
        <v>64</v>
      </c>
      <c r="F260" s="47">
        <f t="shared" si="58"/>
        <v>69.888000000000005</v>
      </c>
      <c r="G260" s="44">
        <v>77</v>
      </c>
      <c r="H260" s="53">
        <f>J260*I260</f>
        <v>119.44597922195402</v>
      </c>
      <c r="I260" s="70">
        <v>1.0620000000000001</v>
      </c>
      <c r="J260" s="44">
        <f t="shared" si="59"/>
        <v>112.47267346700001</v>
      </c>
      <c r="K260" s="70">
        <v>1.0640000000000001</v>
      </c>
      <c r="L260" s="44">
        <f t="shared" si="55"/>
        <v>105.70739987500001</v>
      </c>
      <c r="M260" s="47">
        <v>1.07</v>
      </c>
      <c r="N260" s="44">
        <f t="shared" si="60"/>
        <v>98.791962499999997</v>
      </c>
      <c r="O260" s="70">
        <v>1.075</v>
      </c>
      <c r="P260" s="44">
        <f t="shared" si="61"/>
        <v>91.899500000000003</v>
      </c>
      <c r="Q260" s="70">
        <v>1.085</v>
      </c>
      <c r="R260" s="44">
        <f t="shared" si="62"/>
        <v>84.7</v>
      </c>
      <c r="S260" s="44">
        <f t="shared" si="63"/>
        <v>84.7</v>
      </c>
      <c r="T260" s="50">
        <v>1.1000000000000001</v>
      </c>
      <c r="U260" s="44">
        <f t="shared" si="63"/>
        <v>135.73124402907524</v>
      </c>
      <c r="V260" s="15">
        <f t="shared" si="53"/>
        <v>127.80719776749081</v>
      </c>
      <c r="W260" s="260">
        <f t="shared" si="54"/>
        <v>127.80719776749081</v>
      </c>
      <c r="X260" s="132">
        <f>164*106.5%</f>
        <v>174.66</v>
      </c>
    </row>
    <row r="261" spans="1:24" ht="27.95" customHeight="1" x14ac:dyDescent="0.25">
      <c r="A261" s="128" t="s">
        <v>106</v>
      </c>
      <c r="B261" s="104" t="s">
        <v>476</v>
      </c>
      <c r="C261" s="47">
        <v>180</v>
      </c>
      <c r="D261" s="47">
        <f>C261*1.0582</f>
        <v>190.476</v>
      </c>
      <c r="E261" s="47">
        <v>350</v>
      </c>
      <c r="F261" s="47">
        <f t="shared" si="58"/>
        <v>382.20000000000005</v>
      </c>
      <c r="G261" s="44">
        <v>420</v>
      </c>
      <c r="H261" s="198">
        <f>J261*I261</f>
        <v>651.52352302884015</v>
      </c>
      <c r="I261" s="70">
        <v>1.0620000000000001</v>
      </c>
      <c r="J261" s="44">
        <f t="shared" si="59"/>
        <v>613.48730982000006</v>
      </c>
      <c r="K261" s="70">
        <v>1.0640000000000001</v>
      </c>
      <c r="L261" s="44">
        <f t="shared" si="55"/>
        <v>576.58581750000008</v>
      </c>
      <c r="M261" s="47">
        <v>1.07</v>
      </c>
      <c r="N261" s="44">
        <f t="shared" si="60"/>
        <v>538.86525000000006</v>
      </c>
      <c r="O261" s="70">
        <v>1.075</v>
      </c>
      <c r="P261" s="44">
        <f t="shared" si="61"/>
        <v>501.27000000000004</v>
      </c>
      <c r="Q261" s="70">
        <v>1.085</v>
      </c>
      <c r="R261" s="44">
        <f t="shared" si="62"/>
        <v>462.00000000000006</v>
      </c>
      <c r="S261" s="44">
        <f t="shared" si="63"/>
        <v>462.00000000000006</v>
      </c>
      <c r="T261" s="50">
        <v>1.1000000000000001</v>
      </c>
      <c r="U261" s="44">
        <f t="shared" si="63"/>
        <v>740.35224015859228</v>
      </c>
      <c r="V261" s="15">
        <f t="shared" si="53"/>
        <v>697.13016964085898</v>
      </c>
      <c r="W261" s="260">
        <f t="shared" si="54"/>
        <v>697.13016964085898</v>
      </c>
      <c r="X261" s="132">
        <f>894*106.5%</f>
        <v>952.1099999999999</v>
      </c>
    </row>
    <row r="262" spans="1:24" ht="14.1" customHeight="1" x14ac:dyDescent="0.25">
      <c r="A262" s="362" t="s">
        <v>108</v>
      </c>
      <c r="B262" s="384" t="s">
        <v>71</v>
      </c>
      <c r="C262" s="385"/>
      <c r="D262" s="385"/>
      <c r="E262" s="385"/>
      <c r="F262" s="385"/>
      <c r="G262" s="385"/>
      <c r="H262" s="385"/>
      <c r="I262" s="385"/>
      <c r="J262" s="386"/>
      <c r="K262" s="47"/>
      <c r="L262" s="44"/>
      <c r="M262" s="47"/>
      <c r="N262" s="44"/>
      <c r="O262" s="70">
        <v>1.075</v>
      </c>
      <c r="P262" s="44"/>
      <c r="Q262" s="70"/>
      <c r="R262" s="44"/>
      <c r="S262" s="44"/>
      <c r="T262" s="50"/>
      <c r="U262" s="44"/>
      <c r="V262" s="15"/>
      <c r="X262" s="132"/>
    </row>
    <row r="263" spans="1:24" ht="14.1" customHeight="1" x14ac:dyDescent="0.25">
      <c r="A263" s="362"/>
      <c r="B263" s="128" t="s">
        <v>764</v>
      </c>
      <c r="C263" s="47"/>
      <c r="D263" s="47"/>
      <c r="E263" s="47"/>
      <c r="F263" s="47"/>
      <c r="G263" s="44">
        <v>1500</v>
      </c>
      <c r="H263" s="53">
        <f>J263*I263</f>
        <v>2115.3361137300003</v>
      </c>
      <c r="I263" s="70">
        <v>1.0620000000000001</v>
      </c>
      <c r="J263" s="44">
        <f>K263*L263</f>
        <v>1991.8419150000002</v>
      </c>
      <c r="K263" s="70">
        <v>1.0640000000000001</v>
      </c>
      <c r="L263" s="44">
        <f t="shared" si="55"/>
        <v>1872.0318750000001</v>
      </c>
      <c r="M263" s="47">
        <v>1.07</v>
      </c>
      <c r="N263" s="44">
        <f>O263*P263</f>
        <v>1749.5625</v>
      </c>
      <c r="O263" s="70">
        <v>1.075</v>
      </c>
      <c r="P263" s="44">
        <f>Q263*R263</f>
        <v>1627.5</v>
      </c>
      <c r="Q263" s="70">
        <v>1.085</v>
      </c>
      <c r="R263" s="44">
        <f t="shared" ref="R263:R270" si="67">S263</f>
        <v>1500</v>
      </c>
      <c r="S263" s="44">
        <v>1500</v>
      </c>
      <c r="T263" s="50"/>
      <c r="U263" s="44">
        <v>1500</v>
      </c>
      <c r="V263" s="15">
        <f>H263*107%</f>
        <v>2263.4096416911007</v>
      </c>
      <c r="W263" s="260">
        <f>V263</f>
        <v>2263.4096416911007</v>
      </c>
      <c r="X263" s="132">
        <f>2902*106.5%</f>
        <v>3090.6299999999997</v>
      </c>
    </row>
    <row r="264" spans="1:24" ht="14.1" customHeight="1" x14ac:dyDescent="0.25">
      <c r="A264" s="362"/>
      <c r="B264" s="128" t="s">
        <v>0</v>
      </c>
      <c r="C264" s="47"/>
      <c r="D264" s="47"/>
      <c r="E264" s="47"/>
      <c r="F264" s="47"/>
      <c r="G264" s="44">
        <v>1500</v>
      </c>
      <c r="H264" s="53">
        <f>J264*I264</f>
        <v>2115.3361137300003</v>
      </c>
      <c r="I264" s="70">
        <v>1.0620000000000001</v>
      </c>
      <c r="J264" s="44">
        <f>K264*L264</f>
        <v>1991.8419150000002</v>
      </c>
      <c r="K264" s="70">
        <v>1.0640000000000001</v>
      </c>
      <c r="L264" s="44">
        <f t="shared" si="55"/>
        <v>1872.0318750000001</v>
      </c>
      <c r="M264" s="47">
        <v>1.07</v>
      </c>
      <c r="N264" s="44">
        <f>O264*P264</f>
        <v>1749.5625</v>
      </c>
      <c r="O264" s="70">
        <v>1.075</v>
      </c>
      <c r="P264" s="44">
        <f>Q264*R264</f>
        <v>1627.5</v>
      </c>
      <c r="Q264" s="70">
        <v>1.085</v>
      </c>
      <c r="R264" s="44">
        <f t="shared" si="67"/>
        <v>1500</v>
      </c>
      <c r="S264" s="44">
        <v>1500</v>
      </c>
      <c r="T264" s="50"/>
      <c r="U264" s="44">
        <v>1500</v>
      </c>
      <c r="V264" s="15">
        <f>H264*107%</f>
        <v>2263.4096416911007</v>
      </c>
      <c r="W264" s="260">
        <f>V264</f>
        <v>2263.4096416911007</v>
      </c>
      <c r="X264" s="132">
        <f>2902*106.5%</f>
        <v>3090.6299999999997</v>
      </c>
    </row>
    <row r="265" spans="1:24" ht="14.1" customHeight="1" x14ac:dyDescent="0.25">
      <c r="A265" s="362"/>
      <c r="B265" s="128" t="s">
        <v>1</v>
      </c>
      <c r="C265" s="47"/>
      <c r="D265" s="47"/>
      <c r="E265" s="47"/>
      <c r="F265" s="47"/>
      <c r="G265" s="44">
        <v>1500</v>
      </c>
      <c r="H265" s="53">
        <f>J265*I265</f>
        <v>2115.3361137300003</v>
      </c>
      <c r="I265" s="70">
        <v>1.0620000000000001</v>
      </c>
      <c r="J265" s="44">
        <f>K265*L265</f>
        <v>1991.8419150000002</v>
      </c>
      <c r="K265" s="70">
        <v>1.0640000000000001</v>
      </c>
      <c r="L265" s="44">
        <f t="shared" si="55"/>
        <v>1872.0318750000001</v>
      </c>
      <c r="M265" s="47">
        <v>1.07</v>
      </c>
      <c r="N265" s="44">
        <f>O265*P265</f>
        <v>1749.5625</v>
      </c>
      <c r="O265" s="70">
        <v>1.075</v>
      </c>
      <c r="P265" s="44">
        <f>Q265*R265</f>
        <v>1627.5</v>
      </c>
      <c r="Q265" s="70">
        <v>1.085</v>
      </c>
      <c r="R265" s="44">
        <f t="shared" si="67"/>
        <v>1500</v>
      </c>
      <c r="S265" s="44">
        <v>1500</v>
      </c>
      <c r="T265" s="50"/>
      <c r="U265" s="44">
        <v>1500</v>
      </c>
      <c r="V265" s="15">
        <f>H265*107%</f>
        <v>2263.4096416911007</v>
      </c>
      <c r="W265" s="260">
        <f>V265</f>
        <v>2263.4096416911007</v>
      </c>
      <c r="X265" s="132">
        <f>2902*106.5%</f>
        <v>3090.6299999999997</v>
      </c>
    </row>
    <row r="266" spans="1:24" ht="44.25" customHeight="1" x14ac:dyDescent="0.25">
      <c r="A266" s="128" t="s">
        <v>13</v>
      </c>
      <c r="B266" s="33" t="s">
        <v>415</v>
      </c>
      <c r="C266" s="47"/>
      <c r="D266" s="47" t="s">
        <v>623</v>
      </c>
      <c r="E266" s="47" t="s">
        <v>623</v>
      </c>
      <c r="F266" s="47" t="s">
        <v>623</v>
      </c>
      <c r="G266" s="44" t="s">
        <v>623</v>
      </c>
      <c r="H266" s="44" t="s">
        <v>623</v>
      </c>
      <c r="I266" s="44"/>
      <c r="J266" s="44" t="s">
        <v>623</v>
      </c>
      <c r="K266" s="47"/>
      <c r="L266" s="44" t="s">
        <v>623</v>
      </c>
      <c r="M266" s="47"/>
      <c r="N266" s="44"/>
      <c r="O266" s="70">
        <v>1.075</v>
      </c>
      <c r="P266" s="44" t="s">
        <v>623</v>
      </c>
      <c r="Q266" s="70">
        <v>1.085</v>
      </c>
      <c r="R266" s="44" t="str">
        <f t="shared" si="67"/>
        <v>договорная</v>
      </c>
      <c r="S266" s="44" t="s">
        <v>623</v>
      </c>
      <c r="T266" s="50">
        <v>1.1000000000000001</v>
      </c>
      <c r="U266" s="44" t="s">
        <v>623</v>
      </c>
      <c r="V266" s="15"/>
      <c r="W266" s="267">
        <v>2115</v>
      </c>
      <c r="X266" s="206">
        <f>2712*106.5%</f>
        <v>2888.2799999999997</v>
      </c>
    </row>
    <row r="267" spans="1:24" ht="60.6" customHeight="1" x14ac:dyDescent="0.25">
      <c r="A267" s="128" t="s">
        <v>14</v>
      </c>
      <c r="B267" s="55" t="s">
        <v>1012</v>
      </c>
      <c r="C267" s="47"/>
      <c r="D267" s="47" t="s">
        <v>623</v>
      </c>
      <c r="E267" s="47" t="s">
        <v>623</v>
      </c>
      <c r="F267" s="47" t="s">
        <v>623</v>
      </c>
      <c r="G267" s="44" t="s">
        <v>623</v>
      </c>
      <c r="H267" s="44" t="s">
        <v>623</v>
      </c>
      <c r="I267" s="44"/>
      <c r="J267" s="44" t="s">
        <v>623</v>
      </c>
      <c r="K267" s="47"/>
      <c r="L267" s="44" t="s">
        <v>623</v>
      </c>
      <c r="M267" s="47"/>
      <c r="N267" s="44"/>
      <c r="O267" s="70">
        <v>1.075</v>
      </c>
      <c r="P267" s="44" t="s">
        <v>623</v>
      </c>
      <c r="Q267" s="70">
        <v>1.085</v>
      </c>
      <c r="R267" s="44" t="str">
        <f t="shared" si="67"/>
        <v>договорная</v>
      </c>
      <c r="S267" s="44" t="s">
        <v>623</v>
      </c>
      <c r="T267" s="50">
        <v>1.1000000000000001</v>
      </c>
      <c r="U267" s="44" t="s">
        <v>623</v>
      </c>
      <c r="V267" s="15"/>
      <c r="W267" s="255" t="s">
        <v>623</v>
      </c>
      <c r="X267" s="334" t="s">
        <v>1010</v>
      </c>
    </row>
    <row r="268" spans="1:24" ht="58.5" customHeight="1" x14ac:dyDescent="0.25">
      <c r="A268" s="128" t="s">
        <v>15</v>
      </c>
      <c r="B268" s="37" t="s">
        <v>1011</v>
      </c>
      <c r="C268" s="39"/>
      <c r="D268" s="40" t="s">
        <v>623</v>
      </c>
      <c r="E268" s="40" t="s">
        <v>623</v>
      </c>
      <c r="F268" s="40" t="s">
        <v>623</v>
      </c>
      <c r="G268" s="44" t="s">
        <v>623</v>
      </c>
      <c r="H268" s="44" t="s">
        <v>623</v>
      </c>
      <c r="I268" s="44"/>
      <c r="J268" s="44" t="s">
        <v>623</v>
      </c>
      <c r="K268" s="47"/>
      <c r="L268" s="44" t="s">
        <v>623</v>
      </c>
      <c r="M268" s="47"/>
      <c r="N268" s="44"/>
      <c r="O268" s="70">
        <v>1.075</v>
      </c>
      <c r="P268" s="44" t="s">
        <v>623</v>
      </c>
      <c r="Q268" s="70">
        <v>1.085</v>
      </c>
      <c r="R268" s="44" t="str">
        <f t="shared" si="67"/>
        <v>договорная</v>
      </c>
      <c r="S268" s="44" t="s">
        <v>623</v>
      </c>
      <c r="T268" s="50">
        <v>1.1000000000000001</v>
      </c>
      <c r="U268" s="44" t="s">
        <v>623</v>
      </c>
      <c r="V268" s="22"/>
      <c r="W268" s="255" t="s">
        <v>623</v>
      </c>
      <c r="X268" s="334" t="s">
        <v>1010</v>
      </c>
    </row>
    <row r="269" spans="1:24" ht="58.5" customHeight="1" x14ac:dyDescent="0.25">
      <c r="A269" s="285" t="s">
        <v>669</v>
      </c>
      <c r="B269" s="170" t="s">
        <v>826</v>
      </c>
      <c r="C269" s="149"/>
      <c r="D269" s="149" t="s">
        <v>623</v>
      </c>
      <c r="E269" s="149" t="s">
        <v>623</v>
      </c>
      <c r="F269" s="149" t="s">
        <v>623</v>
      </c>
      <c r="G269" s="150" t="s">
        <v>623</v>
      </c>
      <c r="H269" s="150" t="s">
        <v>623</v>
      </c>
      <c r="I269" s="44"/>
      <c r="J269" s="44" t="s">
        <v>623</v>
      </c>
      <c r="K269" s="47"/>
      <c r="L269" s="44" t="s">
        <v>623</v>
      </c>
      <c r="M269" s="47"/>
      <c r="N269" s="44"/>
      <c r="O269" s="70">
        <v>1.075</v>
      </c>
      <c r="P269" s="44" t="s">
        <v>623</v>
      </c>
      <c r="Q269" s="70">
        <v>1.085</v>
      </c>
      <c r="R269" s="44" t="str">
        <f t="shared" si="67"/>
        <v>договорная</v>
      </c>
      <c r="S269" s="44" t="s">
        <v>623</v>
      </c>
      <c r="T269" s="50">
        <v>1.1000000000000001</v>
      </c>
      <c r="U269" s="44" t="s">
        <v>623</v>
      </c>
      <c r="V269" s="15"/>
      <c r="W269" s="255" t="s">
        <v>623</v>
      </c>
      <c r="X269" s="334" t="s">
        <v>1010</v>
      </c>
    </row>
    <row r="270" spans="1:24" ht="57.6" customHeight="1" x14ac:dyDescent="0.25">
      <c r="A270" s="128" t="s">
        <v>520</v>
      </c>
      <c r="B270" s="37" t="s">
        <v>670</v>
      </c>
      <c r="C270" s="47"/>
      <c r="D270" s="47"/>
      <c r="E270" s="47"/>
      <c r="F270" s="47"/>
      <c r="G270" s="44" t="s">
        <v>623</v>
      </c>
      <c r="H270" s="44" t="s">
        <v>623</v>
      </c>
      <c r="I270" s="44"/>
      <c r="J270" s="44" t="s">
        <v>623</v>
      </c>
      <c r="K270" s="47"/>
      <c r="L270" s="44" t="s">
        <v>623</v>
      </c>
      <c r="M270" s="47"/>
      <c r="N270" s="44"/>
      <c r="O270" s="70">
        <v>1.075</v>
      </c>
      <c r="P270" s="44" t="s">
        <v>623</v>
      </c>
      <c r="Q270" s="70">
        <v>1.085</v>
      </c>
      <c r="R270" s="44" t="str">
        <f t="shared" si="67"/>
        <v>договорная</v>
      </c>
      <c r="S270" s="44" t="s">
        <v>623</v>
      </c>
      <c r="T270" s="50"/>
      <c r="U270" s="44" t="s">
        <v>623</v>
      </c>
      <c r="V270" s="15"/>
      <c r="W270" s="255" t="s">
        <v>623</v>
      </c>
      <c r="X270" s="334" t="s">
        <v>1010</v>
      </c>
    </row>
    <row r="271" spans="1:24" ht="59.45" customHeight="1" x14ac:dyDescent="0.25">
      <c r="A271" s="128" t="s">
        <v>662</v>
      </c>
      <c r="B271" s="375" t="s">
        <v>937</v>
      </c>
      <c r="C271" s="376"/>
      <c r="D271" s="376"/>
      <c r="E271" s="376"/>
      <c r="F271" s="376"/>
      <c r="G271" s="376"/>
      <c r="H271" s="376"/>
      <c r="I271" s="376"/>
      <c r="J271" s="377"/>
      <c r="K271" s="47"/>
      <c r="L271" s="44"/>
      <c r="M271" s="47"/>
      <c r="N271" s="44"/>
      <c r="O271" s="70"/>
      <c r="P271" s="44"/>
      <c r="Q271" s="70"/>
      <c r="R271" s="44"/>
      <c r="S271" s="44"/>
      <c r="T271" s="50"/>
      <c r="U271" s="44"/>
      <c r="V271" s="15"/>
      <c r="W271" s="255" t="s">
        <v>623</v>
      </c>
      <c r="X271" s="334" t="s">
        <v>1010</v>
      </c>
    </row>
    <row r="272" spans="1:24" ht="15" customHeight="1" x14ac:dyDescent="0.25">
      <c r="A272" s="128" t="s">
        <v>451</v>
      </c>
      <c r="B272" s="37" t="s">
        <v>452</v>
      </c>
      <c r="C272" s="47"/>
      <c r="D272" s="47"/>
      <c r="E272" s="47"/>
      <c r="F272" s="47"/>
      <c r="G272" s="44"/>
      <c r="H272" s="53">
        <f>J272*I272</f>
        <v>901.71446400000002</v>
      </c>
      <c r="I272" s="70">
        <v>1.0620000000000001</v>
      </c>
      <c r="J272" s="44">
        <f>L272*K272</f>
        <v>849.072</v>
      </c>
      <c r="K272" s="70">
        <v>1.0640000000000001</v>
      </c>
      <c r="L272" s="44">
        <v>798</v>
      </c>
      <c r="M272" s="47"/>
      <c r="N272" s="44"/>
      <c r="O272" s="70"/>
      <c r="P272" s="44"/>
      <c r="Q272" s="70"/>
      <c r="R272" s="44"/>
      <c r="S272" s="44"/>
      <c r="T272" s="50"/>
      <c r="U272" s="44"/>
      <c r="V272" s="15">
        <f>H272*107%</f>
        <v>964.83447648000003</v>
      </c>
      <c r="W272" s="132">
        <f>V272</f>
        <v>964.83447648000003</v>
      </c>
      <c r="X272" s="132">
        <f>1237*106.5%</f>
        <v>1317.405</v>
      </c>
    </row>
    <row r="273" spans="1:24" x14ac:dyDescent="0.25">
      <c r="A273" s="128" t="s">
        <v>453</v>
      </c>
      <c r="B273" s="240" t="s">
        <v>797</v>
      </c>
      <c r="C273" s="210"/>
      <c r="D273" s="210"/>
      <c r="E273" s="210"/>
      <c r="F273" s="210"/>
      <c r="G273" s="211"/>
      <c r="H273" s="179">
        <f>J273*I273</f>
        <v>1611.3343680000003</v>
      </c>
      <c r="I273" s="212">
        <v>1.0620000000000001</v>
      </c>
      <c r="J273" s="211">
        <f>L273*K273</f>
        <v>1517.2640000000001</v>
      </c>
      <c r="K273" s="212">
        <v>1.0640000000000001</v>
      </c>
      <c r="L273" s="211">
        <v>1426</v>
      </c>
      <c r="M273" s="210"/>
      <c r="N273" s="211"/>
      <c r="O273" s="212"/>
      <c r="P273" s="211"/>
      <c r="Q273" s="212"/>
      <c r="R273" s="211"/>
      <c r="S273" s="211"/>
      <c r="T273" s="213"/>
      <c r="U273" s="211"/>
      <c r="V273" s="15">
        <f>H273*107%</f>
        <v>1724.1277737600003</v>
      </c>
      <c r="W273" s="238">
        <f>V273</f>
        <v>1724.1277737600003</v>
      </c>
      <c r="X273" s="132">
        <f>2211*106.5%</f>
        <v>2354.7149999999997</v>
      </c>
    </row>
    <row r="274" spans="1:24" x14ac:dyDescent="0.25">
      <c r="A274" s="128" t="s">
        <v>804</v>
      </c>
      <c r="B274" s="37" t="s">
        <v>935</v>
      </c>
      <c r="C274" s="324"/>
      <c r="D274" s="324"/>
      <c r="E274" s="324"/>
      <c r="F274" s="324"/>
      <c r="G274" s="325"/>
      <c r="H274" s="325"/>
      <c r="I274" s="325"/>
      <c r="J274" s="326"/>
      <c r="K274" s="219"/>
      <c r="L274" s="217"/>
      <c r="M274" s="216"/>
      <c r="N274" s="217"/>
      <c r="O274" s="219"/>
      <c r="P274" s="217"/>
      <c r="Q274" s="219"/>
      <c r="R274" s="217"/>
      <c r="S274" s="217"/>
      <c r="T274" s="220"/>
      <c r="U274" s="217"/>
      <c r="V274" s="15"/>
      <c r="X274" s="132">
        <f>7417*106.5%</f>
        <v>7899.1049999999996</v>
      </c>
    </row>
    <row r="275" spans="1:24" x14ac:dyDescent="0.25">
      <c r="A275" s="378" t="s">
        <v>550</v>
      </c>
      <c r="B275" s="379"/>
      <c r="C275" s="379"/>
      <c r="D275" s="379"/>
      <c r="E275" s="379"/>
      <c r="F275" s="379"/>
      <c r="G275" s="379"/>
      <c r="H275" s="379"/>
      <c r="I275" s="379"/>
      <c r="J275" s="380"/>
      <c r="K275" s="216"/>
      <c r="L275" s="217"/>
      <c r="M275" s="216"/>
      <c r="N275" s="217"/>
      <c r="O275" s="219"/>
      <c r="P275" s="217"/>
      <c r="Q275" s="219"/>
      <c r="R275" s="217"/>
      <c r="S275" s="217"/>
      <c r="T275" s="220"/>
      <c r="U275" s="217"/>
      <c r="V275" s="15"/>
      <c r="X275" s="85"/>
    </row>
    <row r="276" spans="1:24" x14ac:dyDescent="0.25">
      <c r="A276" s="381" t="s">
        <v>749</v>
      </c>
      <c r="B276" s="382"/>
      <c r="C276" s="382"/>
      <c r="D276" s="382"/>
      <c r="E276" s="382"/>
      <c r="F276" s="382"/>
      <c r="G276" s="382"/>
      <c r="H276" s="382"/>
      <c r="I276" s="382"/>
      <c r="J276" s="383"/>
      <c r="K276" s="47"/>
      <c r="L276" s="44"/>
      <c r="M276" s="47"/>
      <c r="N276" s="44"/>
      <c r="O276" s="70"/>
      <c r="P276" s="44"/>
      <c r="Q276" s="70"/>
      <c r="R276" s="44"/>
      <c r="S276" s="44"/>
      <c r="T276" s="50"/>
      <c r="U276" s="44"/>
      <c r="V276" s="15"/>
      <c r="W276" s="192"/>
      <c r="X276" s="85"/>
    </row>
    <row r="277" spans="1:24" x14ac:dyDescent="0.25">
      <c r="A277" s="128" t="s">
        <v>109</v>
      </c>
      <c r="B277" s="356" t="s">
        <v>832</v>
      </c>
      <c r="C277" s="357"/>
      <c r="D277" s="357"/>
      <c r="E277" s="357"/>
      <c r="F277" s="357"/>
      <c r="G277" s="357"/>
      <c r="H277" s="357"/>
      <c r="I277" s="357"/>
      <c r="J277" s="358"/>
      <c r="K277" s="47"/>
      <c r="L277" s="44"/>
      <c r="M277" s="47"/>
      <c r="N277" s="44"/>
      <c r="O277" s="70"/>
      <c r="P277" s="44"/>
      <c r="Q277" s="70"/>
      <c r="R277" s="44"/>
      <c r="S277" s="44"/>
      <c r="T277" s="50"/>
      <c r="U277" s="44"/>
      <c r="V277" s="15"/>
      <c r="W277" s="228"/>
      <c r="X277" s="85"/>
    </row>
    <row r="278" spans="1:24" x14ac:dyDescent="0.25">
      <c r="A278" s="362" t="s">
        <v>110</v>
      </c>
      <c r="B278" s="345" t="s">
        <v>206</v>
      </c>
      <c r="C278" s="346"/>
      <c r="D278" s="346"/>
      <c r="E278" s="346"/>
      <c r="F278" s="346"/>
      <c r="G278" s="346"/>
      <c r="H278" s="346"/>
      <c r="I278" s="346"/>
      <c r="J278" s="347"/>
      <c r="K278" s="47"/>
      <c r="L278" s="44"/>
      <c r="M278" s="47"/>
      <c r="N278" s="44"/>
      <c r="O278" s="70"/>
      <c r="P278" s="44"/>
      <c r="Q278" s="70"/>
      <c r="R278" s="44"/>
      <c r="S278" s="44"/>
      <c r="T278" s="50"/>
      <c r="U278" s="44"/>
      <c r="V278" s="15"/>
      <c r="W278" s="228"/>
      <c r="X278" s="85"/>
    </row>
    <row r="279" spans="1:24" x14ac:dyDescent="0.25">
      <c r="A279" s="363"/>
      <c r="B279" s="104" t="s">
        <v>750</v>
      </c>
      <c r="C279" s="40">
        <v>3195</v>
      </c>
      <c r="D279" s="47">
        <f>C279*1.0582</f>
        <v>3380.9490000000001</v>
      </c>
      <c r="E279" s="47">
        <f t="shared" ref="E279:E308" si="68">ROUND(D279,0)</f>
        <v>3381</v>
      </c>
      <c r="F279" s="47">
        <f>E279*1.092</f>
        <v>3692.0520000000001</v>
      </c>
      <c r="G279" s="44">
        <v>4061</v>
      </c>
      <c r="H279" s="53">
        <f>J279*I279</f>
        <v>5401.0176564960011</v>
      </c>
      <c r="I279" s="70">
        <v>1.0620000000000001</v>
      </c>
      <c r="J279" s="44">
        <f>K279*L279</f>
        <v>5085.7040080000006</v>
      </c>
      <c r="K279" s="70">
        <v>1.0640000000000001</v>
      </c>
      <c r="L279" s="44">
        <f>M279*N279</f>
        <v>4779.7970000000005</v>
      </c>
      <c r="M279" s="47">
        <v>1.07</v>
      </c>
      <c r="N279" s="44">
        <f>P279</f>
        <v>4467.1000000000004</v>
      </c>
      <c r="O279" s="70" t="s">
        <v>260</v>
      </c>
      <c r="P279" s="44">
        <f>SUM(R279)</f>
        <v>4467.1000000000004</v>
      </c>
      <c r="Q279" s="70" t="s">
        <v>260</v>
      </c>
      <c r="R279" s="44">
        <f>S279</f>
        <v>4467.1000000000004</v>
      </c>
      <c r="S279" s="44">
        <f>G279*T279</f>
        <v>4467.1000000000004</v>
      </c>
      <c r="T279" s="50">
        <v>1.1000000000000001</v>
      </c>
      <c r="U279" s="44">
        <f>I279*V279</f>
        <v>6137.3924037826664</v>
      </c>
      <c r="V279" s="15">
        <f>H279*107%</f>
        <v>5779.0888924507217</v>
      </c>
      <c r="W279" s="260">
        <f>V279</f>
        <v>5779.0888924507217</v>
      </c>
      <c r="X279" s="132">
        <f>7410*106.5%</f>
        <v>7891.65</v>
      </c>
    </row>
    <row r="280" spans="1:24" x14ac:dyDescent="0.25">
      <c r="A280" s="363"/>
      <c r="B280" s="104" t="s">
        <v>751</v>
      </c>
      <c r="C280" s="40">
        <v>2696</v>
      </c>
      <c r="D280" s="47">
        <f>C280*1.0582</f>
        <v>2852.9072000000001</v>
      </c>
      <c r="E280" s="47">
        <f t="shared" si="68"/>
        <v>2853</v>
      </c>
      <c r="F280" s="47">
        <f>E280*1.092</f>
        <v>3115.4760000000001</v>
      </c>
      <c r="G280" s="44">
        <v>3427</v>
      </c>
      <c r="H280" s="53">
        <f>J280*I280</f>
        <v>4557.8151954720015</v>
      </c>
      <c r="I280" s="70">
        <v>1.0620000000000001</v>
      </c>
      <c r="J280" s="44">
        <f>K280*L280</f>
        <v>4291.7280560000008</v>
      </c>
      <c r="K280" s="70">
        <v>1.0640000000000001</v>
      </c>
      <c r="L280" s="44">
        <f t="shared" ref="L280:L304" si="69">M280*N280</f>
        <v>4033.5790000000006</v>
      </c>
      <c r="M280" s="47">
        <v>1.07</v>
      </c>
      <c r="N280" s="44">
        <f t="shared" ref="N280:N321" si="70">P280</f>
        <v>3769.7000000000003</v>
      </c>
      <c r="O280" s="70" t="s">
        <v>260</v>
      </c>
      <c r="P280" s="44">
        <f>SUM(R280)</f>
        <v>3769.7000000000003</v>
      </c>
      <c r="Q280" s="70" t="s">
        <v>260</v>
      </c>
      <c r="R280" s="44">
        <f>S280</f>
        <v>3769.7000000000003</v>
      </c>
      <c r="S280" s="44">
        <f>G280*T280</f>
        <v>3769.7000000000003</v>
      </c>
      <c r="T280" s="50">
        <v>1.1000000000000001</v>
      </c>
      <c r="U280" s="44">
        <f>I280*V280</f>
        <v>5179.2277192226547</v>
      </c>
      <c r="V280" s="15">
        <f>H280*107%</f>
        <v>4876.862259155042</v>
      </c>
      <c r="W280" s="260">
        <f>V280</f>
        <v>4876.862259155042</v>
      </c>
      <c r="X280" s="132">
        <f>6255*106.5%</f>
        <v>6661.5749999999998</v>
      </c>
    </row>
    <row r="281" spans="1:24" x14ac:dyDescent="0.25">
      <c r="A281" s="362" t="s">
        <v>111</v>
      </c>
      <c r="B281" s="356" t="s">
        <v>205</v>
      </c>
      <c r="C281" s="357"/>
      <c r="D281" s="357"/>
      <c r="E281" s="357"/>
      <c r="F281" s="357"/>
      <c r="G281" s="357"/>
      <c r="H281" s="357"/>
      <c r="I281" s="357"/>
      <c r="J281" s="358"/>
      <c r="K281" s="47"/>
      <c r="L281" s="44"/>
      <c r="M281" s="47"/>
      <c r="N281" s="44"/>
      <c r="O281" s="70"/>
      <c r="P281" s="44"/>
      <c r="Q281" s="70"/>
      <c r="R281" s="44"/>
      <c r="S281" s="44"/>
      <c r="T281" s="50"/>
      <c r="U281" s="44"/>
      <c r="V281" s="15"/>
      <c r="X281" s="132"/>
    </row>
    <row r="282" spans="1:24" x14ac:dyDescent="0.25">
      <c r="A282" s="363"/>
      <c r="B282" s="104" t="s">
        <v>750</v>
      </c>
      <c r="C282" s="40">
        <v>3195</v>
      </c>
      <c r="D282" s="47">
        <f t="shared" ref="D282:D292" si="71">C282*1.0582</f>
        <v>3380.9490000000001</v>
      </c>
      <c r="E282" s="47">
        <f t="shared" si="68"/>
        <v>3381</v>
      </c>
      <c r="F282" s="47">
        <f t="shared" ref="F282:F287" si="72">E282*1.092</f>
        <v>3692.0520000000001</v>
      </c>
      <c r="G282" s="44">
        <v>4061</v>
      </c>
      <c r="H282" s="53">
        <f t="shared" ref="H282:H287" si="73">J282*I282</f>
        <v>5401.0176564960011</v>
      </c>
      <c r="I282" s="70">
        <v>1.0620000000000001</v>
      </c>
      <c r="J282" s="44">
        <f t="shared" ref="J282:J287" si="74">K282*L282</f>
        <v>5085.7040080000006</v>
      </c>
      <c r="K282" s="70">
        <v>1.0640000000000001</v>
      </c>
      <c r="L282" s="44">
        <f t="shared" si="69"/>
        <v>4779.7970000000005</v>
      </c>
      <c r="M282" s="47">
        <v>1.07</v>
      </c>
      <c r="N282" s="44">
        <f t="shared" si="70"/>
        <v>4467.1000000000004</v>
      </c>
      <c r="O282" s="70" t="s">
        <v>260</v>
      </c>
      <c r="P282" s="44">
        <f t="shared" ref="P282:P287" si="75">SUM(R282)</f>
        <v>4467.1000000000004</v>
      </c>
      <c r="Q282" s="70" t="s">
        <v>260</v>
      </c>
      <c r="R282" s="44">
        <f t="shared" ref="R282:R287" si="76">S282</f>
        <v>4467.1000000000004</v>
      </c>
      <c r="S282" s="44">
        <f t="shared" ref="S282:U287" si="77">G282*T282</f>
        <v>4467.1000000000004</v>
      </c>
      <c r="T282" s="50">
        <v>1.1000000000000001</v>
      </c>
      <c r="U282" s="44">
        <f t="shared" si="77"/>
        <v>6137.3924037826664</v>
      </c>
      <c r="V282" s="15">
        <f t="shared" ref="V282:V287" si="78">H282*107%</f>
        <v>5779.0888924507217</v>
      </c>
      <c r="W282" s="260">
        <f t="shared" ref="W282:W287" si="79">V282</f>
        <v>5779.0888924507217</v>
      </c>
      <c r="X282" s="132">
        <f>7410*106.5%</f>
        <v>7891.65</v>
      </c>
    </row>
    <row r="283" spans="1:24" x14ac:dyDescent="0.25">
      <c r="A283" s="363"/>
      <c r="B283" s="104" t="s">
        <v>751</v>
      </c>
      <c r="C283" s="40">
        <v>2183</v>
      </c>
      <c r="D283" s="47">
        <f t="shared" si="71"/>
        <v>2310.0506</v>
      </c>
      <c r="E283" s="47">
        <f t="shared" si="68"/>
        <v>2310</v>
      </c>
      <c r="F283" s="47">
        <f t="shared" si="72"/>
        <v>2522.52</v>
      </c>
      <c r="G283" s="44">
        <v>2775</v>
      </c>
      <c r="H283" s="53">
        <f t="shared" si="73"/>
        <v>3690.6732324000013</v>
      </c>
      <c r="I283" s="70">
        <v>1.0620000000000001</v>
      </c>
      <c r="J283" s="44">
        <f t="shared" si="74"/>
        <v>3475.2102000000009</v>
      </c>
      <c r="K283" s="70">
        <v>1.0640000000000001</v>
      </c>
      <c r="L283" s="44">
        <f t="shared" si="69"/>
        <v>3266.1750000000006</v>
      </c>
      <c r="M283" s="47">
        <v>1.07</v>
      </c>
      <c r="N283" s="44">
        <f t="shared" si="70"/>
        <v>3052.5000000000005</v>
      </c>
      <c r="O283" s="70" t="s">
        <v>260</v>
      </c>
      <c r="P283" s="44">
        <f t="shared" si="75"/>
        <v>3052.5000000000005</v>
      </c>
      <c r="Q283" s="70" t="s">
        <v>260</v>
      </c>
      <c r="R283" s="44">
        <f t="shared" si="76"/>
        <v>3052.5000000000005</v>
      </c>
      <c r="S283" s="44">
        <f t="shared" si="77"/>
        <v>3052.5000000000005</v>
      </c>
      <c r="T283" s="50">
        <v>1.1000000000000001</v>
      </c>
      <c r="U283" s="44">
        <f t="shared" si="77"/>
        <v>4193.8596209054185</v>
      </c>
      <c r="V283" s="15">
        <f t="shared" si="78"/>
        <v>3949.0203586680018</v>
      </c>
      <c r="W283" s="260">
        <f t="shared" si="79"/>
        <v>3949.0203586680018</v>
      </c>
      <c r="X283" s="132">
        <f>5064*106.5%</f>
        <v>5393.16</v>
      </c>
    </row>
    <row r="284" spans="1:24" x14ac:dyDescent="0.25">
      <c r="A284" s="128" t="s">
        <v>187</v>
      </c>
      <c r="B284" s="289" t="s">
        <v>272</v>
      </c>
      <c r="C284" s="40">
        <v>3192</v>
      </c>
      <c r="D284" s="47">
        <f t="shared" si="71"/>
        <v>3377.7744000000002</v>
      </c>
      <c r="E284" s="47">
        <f t="shared" si="68"/>
        <v>3378</v>
      </c>
      <c r="F284" s="47">
        <f t="shared" si="72"/>
        <v>3688.7760000000003</v>
      </c>
      <c r="G284" s="44">
        <v>4058</v>
      </c>
      <c r="H284" s="53">
        <f t="shared" si="73"/>
        <v>5397.0277394880013</v>
      </c>
      <c r="I284" s="70">
        <v>1.0620000000000001</v>
      </c>
      <c r="J284" s="44">
        <f t="shared" si="74"/>
        <v>5081.947024000001</v>
      </c>
      <c r="K284" s="70">
        <v>1.0640000000000001</v>
      </c>
      <c r="L284" s="44">
        <f t="shared" si="69"/>
        <v>4776.2660000000005</v>
      </c>
      <c r="M284" s="47">
        <v>1.07</v>
      </c>
      <c r="N284" s="44">
        <f t="shared" si="70"/>
        <v>4463.8</v>
      </c>
      <c r="O284" s="70" t="s">
        <v>260</v>
      </c>
      <c r="P284" s="44">
        <f t="shared" si="75"/>
        <v>4463.8</v>
      </c>
      <c r="Q284" s="70" t="s">
        <v>260</v>
      </c>
      <c r="R284" s="44">
        <f t="shared" si="76"/>
        <v>4463.8</v>
      </c>
      <c r="S284" s="44">
        <f t="shared" si="77"/>
        <v>4463.8</v>
      </c>
      <c r="T284" s="50">
        <v>1.1000000000000001</v>
      </c>
      <c r="U284" s="44">
        <f t="shared" si="77"/>
        <v>6132.8585014897963</v>
      </c>
      <c r="V284" s="15">
        <f t="shared" si="78"/>
        <v>5774.8196812521619</v>
      </c>
      <c r="W284" s="260">
        <f t="shared" si="79"/>
        <v>5774.8196812521619</v>
      </c>
      <c r="X284" s="132">
        <f>7406*106.5%</f>
        <v>7887.3899999999994</v>
      </c>
    </row>
    <row r="285" spans="1:24" x14ac:dyDescent="0.25">
      <c r="A285" s="128" t="s">
        <v>188</v>
      </c>
      <c r="B285" s="289" t="s">
        <v>273</v>
      </c>
      <c r="C285" s="40">
        <v>2315</v>
      </c>
      <c r="D285" s="47">
        <f t="shared" si="71"/>
        <v>2449.7330000000002</v>
      </c>
      <c r="E285" s="47">
        <f t="shared" si="68"/>
        <v>2450</v>
      </c>
      <c r="F285" s="47">
        <f t="shared" si="72"/>
        <v>2675.4</v>
      </c>
      <c r="G285" s="44">
        <v>2943</v>
      </c>
      <c r="H285" s="53">
        <f t="shared" si="73"/>
        <v>3914.1085848480011</v>
      </c>
      <c r="I285" s="70">
        <v>1.0620000000000001</v>
      </c>
      <c r="J285" s="44">
        <f t="shared" si="74"/>
        <v>3685.6013040000007</v>
      </c>
      <c r="K285" s="70">
        <v>1.0640000000000001</v>
      </c>
      <c r="L285" s="44">
        <f t="shared" si="69"/>
        <v>3463.9110000000005</v>
      </c>
      <c r="M285" s="47">
        <v>1.07</v>
      </c>
      <c r="N285" s="44">
        <f t="shared" si="70"/>
        <v>3237.3</v>
      </c>
      <c r="O285" s="70" t="s">
        <v>260</v>
      </c>
      <c r="P285" s="44">
        <f t="shared" si="75"/>
        <v>3237.3</v>
      </c>
      <c r="Q285" s="70" t="s">
        <v>260</v>
      </c>
      <c r="R285" s="44">
        <f t="shared" si="76"/>
        <v>3237.3</v>
      </c>
      <c r="S285" s="44">
        <f t="shared" si="77"/>
        <v>3237.3</v>
      </c>
      <c r="T285" s="50">
        <v>1.1000000000000001</v>
      </c>
      <c r="U285" s="44">
        <f t="shared" si="77"/>
        <v>4447.758149306178</v>
      </c>
      <c r="V285" s="15">
        <f t="shared" si="78"/>
        <v>4188.0961857873617</v>
      </c>
      <c r="W285" s="260">
        <f t="shared" si="79"/>
        <v>4188.0961857873617</v>
      </c>
      <c r="X285" s="132">
        <f>5371*106.5%</f>
        <v>5720.1149999999998</v>
      </c>
    </row>
    <row r="286" spans="1:24" x14ac:dyDescent="0.25">
      <c r="A286" s="128" t="s">
        <v>189</v>
      </c>
      <c r="B286" s="289" t="s">
        <v>274</v>
      </c>
      <c r="C286" s="40">
        <v>3398</v>
      </c>
      <c r="D286" s="47">
        <f t="shared" si="71"/>
        <v>3595.7636000000002</v>
      </c>
      <c r="E286" s="47">
        <f t="shared" si="68"/>
        <v>3596</v>
      </c>
      <c r="F286" s="47">
        <f t="shared" si="72"/>
        <v>3926.8320000000003</v>
      </c>
      <c r="G286" s="44">
        <v>4320</v>
      </c>
      <c r="H286" s="53">
        <f t="shared" si="73"/>
        <v>5745.4804915200011</v>
      </c>
      <c r="I286" s="70">
        <v>1.0620000000000001</v>
      </c>
      <c r="J286" s="44">
        <f t="shared" si="74"/>
        <v>5410.0569600000008</v>
      </c>
      <c r="K286" s="70">
        <v>1.0640000000000001</v>
      </c>
      <c r="L286" s="44">
        <f t="shared" si="69"/>
        <v>5084.6400000000003</v>
      </c>
      <c r="M286" s="47">
        <v>1.07</v>
      </c>
      <c r="N286" s="44">
        <f t="shared" si="70"/>
        <v>4752</v>
      </c>
      <c r="O286" s="70" t="s">
        <v>260</v>
      </c>
      <c r="P286" s="44">
        <f t="shared" si="75"/>
        <v>4752</v>
      </c>
      <c r="Q286" s="70" t="s">
        <v>260</v>
      </c>
      <c r="R286" s="44">
        <f t="shared" si="76"/>
        <v>4752</v>
      </c>
      <c r="S286" s="44">
        <f t="shared" si="77"/>
        <v>4752</v>
      </c>
      <c r="T286" s="50">
        <v>1.1000000000000001</v>
      </c>
      <c r="U286" s="44">
        <f t="shared" si="77"/>
        <v>6528.819301733839</v>
      </c>
      <c r="V286" s="15">
        <f t="shared" si="78"/>
        <v>6147.6641259264015</v>
      </c>
      <c r="W286" s="260">
        <f t="shared" si="79"/>
        <v>6147.6641259264015</v>
      </c>
      <c r="X286" s="132">
        <f>7884*106.5%</f>
        <v>8396.4599999999991</v>
      </c>
    </row>
    <row r="287" spans="1:24" x14ac:dyDescent="0.25">
      <c r="A287" s="128" t="s">
        <v>190</v>
      </c>
      <c r="B287" s="289" t="s">
        <v>275</v>
      </c>
      <c r="C287" s="40">
        <v>1422</v>
      </c>
      <c r="D287" s="47">
        <f t="shared" si="71"/>
        <v>1504.7604000000001</v>
      </c>
      <c r="E287" s="47">
        <f t="shared" si="68"/>
        <v>1505</v>
      </c>
      <c r="F287" s="47">
        <f t="shared" si="72"/>
        <v>1643.46</v>
      </c>
      <c r="G287" s="44">
        <v>1807</v>
      </c>
      <c r="H287" s="53">
        <f t="shared" si="73"/>
        <v>2403.260011152001</v>
      </c>
      <c r="I287" s="70">
        <v>1.0620000000000001</v>
      </c>
      <c r="J287" s="44">
        <f t="shared" si="74"/>
        <v>2262.9566960000006</v>
      </c>
      <c r="K287" s="70">
        <v>1.0640000000000001</v>
      </c>
      <c r="L287" s="44">
        <f t="shared" si="69"/>
        <v>2126.8390000000004</v>
      </c>
      <c r="M287" s="47">
        <v>1.07</v>
      </c>
      <c r="N287" s="44">
        <f t="shared" si="70"/>
        <v>1987.7000000000003</v>
      </c>
      <c r="O287" s="70" t="s">
        <v>260</v>
      </c>
      <c r="P287" s="44">
        <f t="shared" si="75"/>
        <v>1987.7000000000003</v>
      </c>
      <c r="Q287" s="70" t="s">
        <v>260</v>
      </c>
      <c r="R287" s="44">
        <f t="shared" si="76"/>
        <v>1987.7000000000003</v>
      </c>
      <c r="S287" s="44">
        <f t="shared" si="77"/>
        <v>1987.7000000000003</v>
      </c>
      <c r="T287" s="50">
        <v>1.1000000000000001</v>
      </c>
      <c r="U287" s="44">
        <f t="shared" si="77"/>
        <v>2730.920481072465</v>
      </c>
      <c r="V287" s="15">
        <f t="shared" si="78"/>
        <v>2571.4882119326412</v>
      </c>
      <c r="W287" s="260">
        <f t="shared" si="79"/>
        <v>2571.4882119326412</v>
      </c>
      <c r="X287" s="132">
        <f>3297*106.5%</f>
        <v>3511.3049999999998</v>
      </c>
    </row>
    <row r="288" spans="1:24" x14ac:dyDescent="0.25">
      <c r="A288" s="362" t="s">
        <v>191</v>
      </c>
      <c r="B288" s="356" t="s">
        <v>386</v>
      </c>
      <c r="C288" s="357"/>
      <c r="D288" s="357"/>
      <c r="E288" s="357"/>
      <c r="F288" s="357"/>
      <c r="G288" s="357"/>
      <c r="H288" s="357"/>
      <c r="I288" s="357"/>
      <c r="J288" s="358"/>
      <c r="K288" s="47"/>
      <c r="L288" s="44"/>
      <c r="M288" s="47"/>
      <c r="N288" s="44"/>
      <c r="O288" s="70"/>
      <c r="P288" s="44"/>
      <c r="Q288" s="70"/>
      <c r="R288" s="44"/>
      <c r="S288" s="79"/>
      <c r="T288" s="84"/>
      <c r="U288" s="79"/>
      <c r="V288" s="15"/>
      <c r="X288" s="132"/>
    </row>
    <row r="289" spans="1:24" x14ac:dyDescent="0.25">
      <c r="A289" s="363"/>
      <c r="B289" s="104" t="s">
        <v>750</v>
      </c>
      <c r="C289" s="40">
        <v>2579</v>
      </c>
      <c r="D289" s="47">
        <f t="shared" si="71"/>
        <v>2729.0978</v>
      </c>
      <c r="E289" s="47">
        <f t="shared" si="68"/>
        <v>2729</v>
      </c>
      <c r="F289" s="47">
        <f>E289*1.092</f>
        <v>2980.0680000000002</v>
      </c>
      <c r="G289" s="44">
        <v>3278</v>
      </c>
      <c r="H289" s="53">
        <f>J289*I289</f>
        <v>4359.6493174080015</v>
      </c>
      <c r="I289" s="70">
        <v>1.0620000000000001</v>
      </c>
      <c r="J289" s="44">
        <f>K289*L289</f>
        <v>4105.1311840000008</v>
      </c>
      <c r="K289" s="70">
        <v>1.0640000000000001</v>
      </c>
      <c r="L289" s="44">
        <f t="shared" si="69"/>
        <v>3858.2060000000006</v>
      </c>
      <c r="M289" s="47">
        <v>1.07</v>
      </c>
      <c r="N289" s="44">
        <f t="shared" si="70"/>
        <v>3605.8</v>
      </c>
      <c r="O289" s="70" t="s">
        <v>260</v>
      </c>
      <c r="P289" s="44">
        <f>SUM(R289)</f>
        <v>3605.8</v>
      </c>
      <c r="Q289" s="70" t="s">
        <v>260</v>
      </c>
      <c r="R289" s="44">
        <f>S289</f>
        <v>3605.8</v>
      </c>
      <c r="S289" s="44">
        <f>G289*T289</f>
        <v>3605.8</v>
      </c>
      <c r="T289" s="50">
        <v>1.1000000000000001</v>
      </c>
      <c r="U289" s="44">
        <f>I289*V289</f>
        <v>4954.0439053434084</v>
      </c>
      <c r="V289" s="15">
        <f>H289*107%</f>
        <v>4664.8247696265616</v>
      </c>
      <c r="W289" s="260">
        <f>V289</f>
        <v>4664.8247696265616</v>
      </c>
      <c r="X289" s="132">
        <f>5983*106.5%</f>
        <v>6371.8949999999995</v>
      </c>
    </row>
    <row r="290" spans="1:24" x14ac:dyDescent="0.25">
      <c r="A290" s="363"/>
      <c r="B290" s="104" t="s">
        <v>751</v>
      </c>
      <c r="C290" s="40">
        <v>2579</v>
      </c>
      <c r="D290" s="47">
        <f t="shared" si="71"/>
        <v>2729.0978</v>
      </c>
      <c r="E290" s="47">
        <f t="shared" si="68"/>
        <v>2729</v>
      </c>
      <c r="F290" s="47">
        <f>E290*1.092</f>
        <v>2980.0680000000002</v>
      </c>
      <c r="G290" s="44">
        <v>3278</v>
      </c>
      <c r="H290" s="53">
        <f>J290*I290</f>
        <v>4359.6493174080015</v>
      </c>
      <c r="I290" s="70">
        <v>1.0620000000000001</v>
      </c>
      <c r="J290" s="44">
        <f>K290*L290</f>
        <v>4105.1311840000008</v>
      </c>
      <c r="K290" s="70">
        <v>1.0640000000000001</v>
      </c>
      <c r="L290" s="44">
        <f t="shared" si="69"/>
        <v>3858.2060000000006</v>
      </c>
      <c r="M290" s="47">
        <v>1.07</v>
      </c>
      <c r="N290" s="44">
        <f t="shared" si="70"/>
        <v>3605.8</v>
      </c>
      <c r="O290" s="70" t="s">
        <v>260</v>
      </c>
      <c r="P290" s="44">
        <f>SUM(R290)</f>
        <v>3605.8</v>
      </c>
      <c r="Q290" s="70" t="s">
        <v>260</v>
      </c>
      <c r="R290" s="44">
        <f>S290</f>
        <v>3605.8</v>
      </c>
      <c r="S290" s="44">
        <f>G290*T290</f>
        <v>3605.8</v>
      </c>
      <c r="T290" s="50">
        <v>1.1000000000000001</v>
      </c>
      <c r="U290" s="44">
        <f>I290*V290</f>
        <v>4954.0439053434084</v>
      </c>
      <c r="V290" s="15">
        <f>H290*107%</f>
        <v>4664.8247696265616</v>
      </c>
      <c r="W290" s="260">
        <f>V290</f>
        <v>4664.8247696265616</v>
      </c>
      <c r="X290" s="132">
        <f>5983*106.5%</f>
        <v>6371.8949999999995</v>
      </c>
    </row>
    <row r="291" spans="1:24" x14ac:dyDescent="0.25">
      <c r="A291" s="128" t="s">
        <v>192</v>
      </c>
      <c r="B291" s="289" t="s">
        <v>276</v>
      </c>
      <c r="C291" s="40">
        <v>2579</v>
      </c>
      <c r="D291" s="47">
        <f t="shared" si="71"/>
        <v>2729.0978</v>
      </c>
      <c r="E291" s="47">
        <f t="shared" si="68"/>
        <v>2729</v>
      </c>
      <c r="F291" s="47">
        <f>E291*1.092</f>
        <v>2980.0680000000002</v>
      </c>
      <c r="G291" s="44">
        <v>3278</v>
      </c>
      <c r="H291" s="53">
        <f>J291*I291</f>
        <v>4359.6493174080015</v>
      </c>
      <c r="I291" s="70">
        <v>1.0620000000000001</v>
      </c>
      <c r="J291" s="44">
        <f>K291*L291</f>
        <v>4105.1311840000008</v>
      </c>
      <c r="K291" s="70">
        <v>1.0640000000000001</v>
      </c>
      <c r="L291" s="44">
        <f t="shared" si="69"/>
        <v>3858.2060000000006</v>
      </c>
      <c r="M291" s="47">
        <v>1.07</v>
      </c>
      <c r="N291" s="44">
        <f t="shared" si="70"/>
        <v>3605.8</v>
      </c>
      <c r="O291" s="70" t="s">
        <v>260</v>
      </c>
      <c r="P291" s="44">
        <f>SUM(R291)</f>
        <v>3605.8</v>
      </c>
      <c r="Q291" s="70" t="s">
        <v>260</v>
      </c>
      <c r="R291" s="44">
        <f>S291</f>
        <v>3605.8</v>
      </c>
      <c r="S291" s="44">
        <f>G291*T291</f>
        <v>3605.8</v>
      </c>
      <c r="T291" s="50">
        <v>1.1000000000000001</v>
      </c>
      <c r="U291" s="44">
        <f>I291*V291</f>
        <v>4954.0439053434084</v>
      </c>
      <c r="V291" s="15">
        <f>H291*107%</f>
        <v>4664.8247696265616</v>
      </c>
      <c r="W291" s="260">
        <f>V291</f>
        <v>4664.8247696265616</v>
      </c>
      <c r="X291" s="132">
        <f>5983*106.5%</f>
        <v>6371.8949999999995</v>
      </c>
    </row>
    <row r="292" spans="1:24" x14ac:dyDescent="0.25">
      <c r="A292" s="128" t="s">
        <v>193</v>
      </c>
      <c r="B292" s="289" t="s">
        <v>279</v>
      </c>
      <c r="C292" s="40">
        <v>4029</v>
      </c>
      <c r="D292" s="47">
        <f t="shared" si="71"/>
        <v>4263.4877999999999</v>
      </c>
      <c r="E292" s="47">
        <f t="shared" si="68"/>
        <v>4263</v>
      </c>
      <c r="F292" s="47">
        <f>E292*1.092</f>
        <v>4655.1959999999999</v>
      </c>
      <c r="G292" s="44">
        <v>5121</v>
      </c>
      <c r="H292" s="53">
        <f>J292*I292</f>
        <v>6810.7883326560004</v>
      </c>
      <c r="I292" s="70">
        <v>1.0620000000000001</v>
      </c>
      <c r="J292" s="44">
        <f>K292*L292</f>
        <v>6413.1716880000004</v>
      </c>
      <c r="K292" s="70">
        <v>1.0640000000000001</v>
      </c>
      <c r="L292" s="44">
        <f t="shared" si="69"/>
        <v>6027.4170000000004</v>
      </c>
      <c r="M292" s="47">
        <v>1.07</v>
      </c>
      <c r="N292" s="44">
        <f t="shared" si="70"/>
        <v>5633.1</v>
      </c>
      <c r="O292" s="70" t="s">
        <v>260</v>
      </c>
      <c r="P292" s="44">
        <f>SUM(R292)</f>
        <v>5633.1</v>
      </c>
      <c r="Q292" s="70" t="s">
        <v>260</v>
      </c>
      <c r="R292" s="44">
        <f>S292</f>
        <v>5633.1</v>
      </c>
      <c r="S292" s="44">
        <f>G292*T292</f>
        <v>5633.1</v>
      </c>
      <c r="T292" s="50">
        <v>1.1000000000000001</v>
      </c>
      <c r="U292" s="44">
        <f>I292*V292</f>
        <v>7739.3712139303207</v>
      </c>
      <c r="V292" s="15">
        <f>H292*107%</f>
        <v>7287.5435159419212</v>
      </c>
      <c r="W292" s="260">
        <f>V292</f>
        <v>7287.5435159419212</v>
      </c>
      <c r="X292" s="132">
        <f>9346*106.5%</f>
        <v>9953.49</v>
      </c>
    </row>
    <row r="293" spans="1:24" ht="30" x14ac:dyDescent="0.25">
      <c r="A293" s="128" t="s">
        <v>194</v>
      </c>
      <c r="B293" s="289" t="s">
        <v>300</v>
      </c>
      <c r="C293" s="40">
        <v>3297</v>
      </c>
      <c r="D293" s="47">
        <v>3488.89</v>
      </c>
      <c r="E293" s="47">
        <f t="shared" si="68"/>
        <v>3489</v>
      </c>
      <c r="F293" s="47">
        <f>E293*1.092</f>
        <v>3809.9880000000003</v>
      </c>
      <c r="G293" s="44">
        <v>4191</v>
      </c>
      <c r="H293" s="198">
        <f>J293*I293</f>
        <v>5573.9140601760018</v>
      </c>
      <c r="I293" s="70">
        <v>1.0620000000000001</v>
      </c>
      <c r="J293" s="44">
        <f>K293*L293</f>
        <v>5248.5066480000014</v>
      </c>
      <c r="K293" s="70">
        <v>1.0640000000000001</v>
      </c>
      <c r="L293" s="44">
        <f t="shared" si="69"/>
        <v>4932.8070000000007</v>
      </c>
      <c r="M293" s="47">
        <v>1.07</v>
      </c>
      <c r="N293" s="44">
        <f t="shared" si="70"/>
        <v>4610.1000000000004</v>
      </c>
      <c r="O293" s="70" t="s">
        <v>260</v>
      </c>
      <c r="P293" s="44">
        <f>SUM(R293)</f>
        <v>4610.1000000000004</v>
      </c>
      <c r="Q293" s="70" t="s">
        <v>260</v>
      </c>
      <c r="R293" s="44">
        <f>S293</f>
        <v>4610.1000000000004</v>
      </c>
      <c r="S293" s="44">
        <f>G293*T293</f>
        <v>4610.1000000000004</v>
      </c>
      <c r="T293" s="50">
        <v>1.1000000000000001</v>
      </c>
      <c r="U293" s="44">
        <f>I293*V293</f>
        <v>6333.8615031403988</v>
      </c>
      <c r="V293" s="15">
        <f>H293*107%</f>
        <v>5964.0880443883225</v>
      </c>
      <c r="W293" s="260">
        <f>V293</f>
        <v>5964.0880443883225</v>
      </c>
      <c r="X293" s="132">
        <f>7648*106.5%</f>
        <v>8145.12</v>
      </c>
    </row>
    <row r="294" spans="1:24" x14ac:dyDescent="0.25">
      <c r="A294" s="362" t="s">
        <v>195</v>
      </c>
      <c r="B294" s="356" t="s">
        <v>387</v>
      </c>
      <c r="C294" s="357"/>
      <c r="D294" s="357"/>
      <c r="E294" s="357"/>
      <c r="F294" s="357"/>
      <c r="G294" s="357"/>
      <c r="H294" s="357"/>
      <c r="I294" s="357"/>
      <c r="J294" s="358"/>
      <c r="K294" s="47"/>
      <c r="L294" s="44"/>
      <c r="M294" s="47"/>
      <c r="N294" s="44"/>
      <c r="O294" s="70"/>
      <c r="P294" s="44"/>
      <c r="Q294" s="70"/>
      <c r="R294" s="44"/>
      <c r="S294" s="44"/>
      <c r="T294" s="50"/>
      <c r="U294" s="44"/>
      <c r="V294" s="15"/>
      <c r="X294" s="132"/>
    </row>
    <row r="295" spans="1:24" x14ac:dyDescent="0.25">
      <c r="A295" s="363"/>
      <c r="B295" s="104" t="s">
        <v>750</v>
      </c>
      <c r="C295" s="40">
        <v>4088</v>
      </c>
      <c r="D295" s="47">
        <f>C295*1.0582</f>
        <v>4325.9215999999997</v>
      </c>
      <c r="E295" s="47">
        <f t="shared" si="68"/>
        <v>4326</v>
      </c>
      <c r="F295" s="47">
        <f>E295*1.092</f>
        <v>4723.9920000000002</v>
      </c>
      <c r="G295" s="44">
        <v>5197</v>
      </c>
      <c r="H295" s="53">
        <f>J295*I295</f>
        <v>6911.8662301920021</v>
      </c>
      <c r="I295" s="70">
        <v>1.0620000000000001</v>
      </c>
      <c r="J295" s="44">
        <f>K295*L295</f>
        <v>6508.348616000002</v>
      </c>
      <c r="K295" s="70">
        <v>1.0640000000000001</v>
      </c>
      <c r="L295" s="44">
        <f t="shared" si="69"/>
        <v>6116.8690000000015</v>
      </c>
      <c r="M295" s="47">
        <v>1.07</v>
      </c>
      <c r="N295" s="44">
        <f t="shared" si="70"/>
        <v>5716.7000000000007</v>
      </c>
      <c r="O295" s="70" t="s">
        <v>260</v>
      </c>
      <c r="P295" s="44">
        <f>SUM(R295)</f>
        <v>5716.7000000000007</v>
      </c>
      <c r="Q295" s="70" t="s">
        <v>260</v>
      </c>
      <c r="R295" s="44">
        <f>S295</f>
        <v>5716.7000000000007</v>
      </c>
      <c r="S295" s="44">
        <f>G295*T295</f>
        <v>5716.7000000000007</v>
      </c>
      <c r="T295" s="50">
        <v>1.1000000000000001</v>
      </c>
      <c r="U295" s="44">
        <f>I295*V295</f>
        <v>7854.2300720163812</v>
      </c>
      <c r="V295" s="15">
        <f>H295*107%</f>
        <v>7395.6968663054431</v>
      </c>
      <c r="W295" s="260">
        <f>V295</f>
        <v>7395.6968663054431</v>
      </c>
      <c r="X295" s="132">
        <f>9484*106.5%</f>
        <v>10100.459999999999</v>
      </c>
    </row>
    <row r="296" spans="1:24" x14ac:dyDescent="0.25">
      <c r="A296" s="363"/>
      <c r="B296" s="104" t="s">
        <v>751</v>
      </c>
      <c r="C296" s="40">
        <v>2917</v>
      </c>
      <c r="D296" s="47">
        <f>C296*1.0582</f>
        <v>3086.7694000000001</v>
      </c>
      <c r="E296" s="47">
        <f t="shared" si="68"/>
        <v>3087</v>
      </c>
      <c r="F296" s="47">
        <f>E296*1.092</f>
        <v>3371.0040000000004</v>
      </c>
      <c r="G296" s="44">
        <v>3708</v>
      </c>
      <c r="H296" s="53">
        <f>J296*I296</f>
        <v>4931.5374218880015</v>
      </c>
      <c r="I296" s="70">
        <v>1.0620000000000001</v>
      </c>
      <c r="J296" s="44">
        <f>K296*L296</f>
        <v>4643.6322240000009</v>
      </c>
      <c r="K296" s="70">
        <v>1.0640000000000001</v>
      </c>
      <c r="L296" s="44">
        <f t="shared" si="69"/>
        <v>4364.3160000000007</v>
      </c>
      <c r="M296" s="47">
        <v>1.07</v>
      </c>
      <c r="N296" s="44">
        <f t="shared" si="70"/>
        <v>4078.8</v>
      </c>
      <c r="O296" s="70" t="s">
        <v>260</v>
      </c>
      <c r="P296" s="44">
        <f>SUM(R296)</f>
        <v>4078.8</v>
      </c>
      <c r="Q296" s="70" t="s">
        <v>260</v>
      </c>
      <c r="R296" s="44">
        <f>S296</f>
        <v>4078.8</v>
      </c>
      <c r="S296" s="44">
        <f>G296*T296</f>
        <v>4078.8</v>
      </c>
      <c r="T296" s="50">
        <v>1.1000000000000001</v>
      </c>
      <c r="U296" s="44">
        <f>I296*V296</f>
        <v>5603.9032339882124</v>
      </c>
      <c r="V296" s="15">
        <f>H296*107%</f>
        <v>5276.7450414201621</v>
      </c>
      <c r="W296" s="260">
        <f>V296</f>
        <v>5276.7450414201621</v>
      </c>
      <c r="X296" s="132">
        <f>6766*106.5%</f>
        <v>7205.79</v>
      </c>
    </row>
    <row r="297" spans="1:24" x14ac:dyDescent="0.25">
      <c r="A297" s="362" t="s">
        <v>196</v>
      </c>
      <c r="B297" s="356" t="s">
        <v>416</v>
      </c>
      <c r="C297" s="357"/>
      <c r="D297" s="357"/>
      <c r="E297" s="357"/>
      <c r="F297" s="357"/>
      <c r="G297" s="357"/>
      <c r="H297" s="357"/>
      <c r="I297" s="357"/>
      <c r="J297" s="358"/>
      <c r="K297" s="47"/>
      <c r="L297" s="44"/>
      <c r="M297" s="47"/>
      <c r="N297" s="44"/>
      <c r="O297" s="70"/>
      <c r="P297" s="44"/>
      <c r="Q297" s="70"/>
      <c r="R297" s="44"/>
      <c r="S297" s="44"/>
      <c r="T297" s="50"/>
      <c r="U297" s="44"/>
      <c r="V297" s="15"/>
      <c r="X297" s="132"/>
    </row>
    <row r="298" spans="1:24" x14ac:dyDescent="0.25">
      <c r="A298" s="363"/>
      <c r="B298" s="104" t="s">
        <v>750</v>
      </c>
      <c r="C298" s="40">
        <v>4221</v>
      </c>
      <c r="D298" s="47">
        <f>C298*1.0582</f>
        <v>4466.6621999999998</v>
      </c>
      <c r="E298" s="47">
        <f t="shared" si="68"/>
        <v>4467</v>
      </c>
      <c r="F298" s="47">
        <f>E298*1.092</f>
        <v>4877.9639999999999</v>
      </c>
      <c r="G298" s="44">
        <v>5366</v>
      </c>
      <c r="H298" s="53">
        <f>J298*I298</f>
        <v>7136.631554976002</v>
      </c>
      <c r="I298" s="70">
        <v>1.0620000000000001</v>
      </c>
      <c r="J298" s="44">
        <f>K298*L298</f>
        <v>6719.9920480000019</v>
      </c>
      <c r="K298" s="70">
        <v>1.0640000000000001</v>
      </c>
      <c r="L298" s="44">
        <f t="shared" si="69"/>
        <v>6315.7820000000011</v>
      </c>
      <c r="M298" s="47">
        <v>1.07</v>
      </c>
      <c r="N298" s="44">
        <f t="shared" si="70"/>
        <v>5902.6</v>
      </c>
      <c r="O298" s="70" t="s">
        <v>260</v>
      </c>
      <c r="P298" s="44">
        <f>SUM(R298)</f>
        <v>5902.6</v>
      </c>
      <c r="Q298" s="70" t="s">
        <v>260</v>
      </c>
      <c r="R298" s="44">
        <f>S298</f>
        <v>5902.6</v>
      </c>
      <c r="S298" s="44">
        <f>G298*T298</f>
        <v>5902.6</v>
      </c>
      <c r="T298" s="50">
        <v>1.1000000000000001</v>
      </c>
      <c r="U298" s="44">
        <f>I298*V298</f>
        <v>8109.639901181431</v>
      </c>
      <c r="V298" s="15">
        <f t="shared" ref="V298:V304" si="80">H298*107%</f>
        <v>7636.195763824323</v>
      </c>
      <c r="W298" s="260">
        <f t="shared" ref="W298:W304" si="81">V298</f>
        <v>7636.195763824323</v>
      </c>
      <c r="X298" s="132">
        <f>9792*106.5%</f>
        <v>10428.48</v>
      </c>
    </row>
    <row r="299" spans="1:24" x14ac:dyDescent="0.25">
      <c r="A299" s="363"/>
      <c r="B299" s="104" t="s">
        <v>751</v>
      </c>
      <c r="C299" s="40">
        <v>3004</v>
      </c>
      <c r="D299" s="47">
        <f>C299*1.0582</f>
        <v>3178.8328000000001</v>
      </c>
      <c r="E299" s="47">
        <f t="shared" si="68"/>
        <v>3179</v>
      </c>
      <c r="F299" s="47">
        <f>E299*1.092</f>
        <v>3471.4680000000003</v>
      </c>
      <c r="G299" s="44">
        <v>3818</v>
      </c>
      <c r="H299" s="53">
        <f>J299*I299</f>
        <v>5077.8343788480006</v>
      </c>
      <c r="I299" s="70">
        <v>1.0620000000000001</v>
      </c>
      <c r="J299" s="44">
        <f>K299*L299</f>
        <v>4781.3883040000001</v>
      </c>
      <c r="K299" s="70">
        <v>1.0640000000000001</v>
      </c>
      <c r="L299" s="44">
        <f t="shared" si="69"/>
        <v>4493.7860000000001</v>
      </c>
      <c r="M299" s="47">
        <v>1.07</v>
      </c>
      <c r="N299" s="44">
        <f t="shared" si="70"/>
        <v>4199.8</v>
      </c>
      <c r="O299" s="70" t="s">
        <v>260</v>
      </c>
      <c r="P299" s="44">
        <f>SUM(R299)</f>
        <v>4199.8</v>
      </c>
      <c r="Q299" s="70" t="s">
        <v>260</v>
      </c>
      <c r="R299" s="44">
        <f>S299</f>
        <v>4199.8</v>
      </c>
      <c r="S299" s="44">
        <f>G299*T299</f>
        <v>4199.8</v>
      </c>
      <c r="T299" s="50">
        <v>1.1000000000000001</v>
      </c>
      <c r="U299" s="44">
        <f>I299*V299</f>
        <v>5770.1463180601377</v>
      </c>
      <c r="V299" s="15">
        <f t="shared" si="80"/>
        <v>5433.2827853673607</v>
      </c>
      <c r="W299" s="260">
        <f t="shared" si="81"/>
        <v>5433.2827853673607</v>
      </c>
      <c r="X299" s="132">
        <f>6968*106.5%</f>
        <v>7420.92</v>
      </c>
    </row>
    <row r="300" spans="1:24" x14ac:dyDescent="0.25">
      <c r="A300" s="362" t="s">
        <v>197</v>
      </c>
      <c r="B300" s="356" t="s">
        <v>417</v>
      </c>
      <c r="C300" s="357"/>
      <c r="D300" s="357"/>
      <c r="E300" s="357"/>
      <c r="F300" s="357"/>
      <c r="G300" s="357"/>
      <c r="H300" s="357"/>
      <c r="I300" s="357"/>
      <c r="J300" s="358"/>
      <c r="K300" s="47"/>
      <c r="L300" s="44"/>
      <c r="M300" s="47"/>
      <c r="N300" s="44"/>
      <c r="O300" s="70"/>
      <c r="P300" s="44"/>
      <c r="Q300" s="70"/>
      <c r="R300" s="44"/>
      <c r="S300" s="44"/>
      <c r="T300" s="50"/>
      <c r="U300" s="44"/>
      <c r="V300" s="15"/>
      <c r="X300" s="132"/>
    </row>
    <row r="301" spans="1:24" x14ac:dyDescent="0.25">
      <c r="A301" s="363"/>
      <c r="B301" s="104" t="s">
        <v>752</v>
      </c>
      <c r="C301" s="40">
        <v>4221</v>
      </c>
      <c r="D301" s="47">
        <f>C301*1.0582</f>
        <v>4466.6621999999998</v>
      </c>
      <c r="E301" s="47">
        <f t="shared" si="68"/>
        <v>4467</v>
      </c>
      <c r="F301" s="47">
        <f>E301*1.092</f>
        <v>4877.9639999999999</v>
      </c>
      <c r="G301" s="44">
        <v>5366</v>
      </c>
      <c r="H301" s="53">
        <f>J301*I301</f>
        <v>7136.631554976002</v>
      </c>
      <c r="I301" s="70">
        <v>1.0620000000000001</v>
      </c>
      <c r="J301" s="44">
        <f>K301*L301</f>
        <v>6719.9920480000019</v>
      </c>
      <c r="K301" s="70">
        <v>1.0640000000000001</v>
      </c>
      <c r="L301" s="44">
        <f t="shared" si="69"/>
        <v>6315.7820000000011</v>
      </c>
      <c r="M301" s="47">
        <v>1.07</v>
      </c>
      <c r="N301" s="44">
        <f t="shared" si="70"/>
        <v>5902.6</v>
      </c>
      <c r="O301" s="70" t="s">
        <v>260</v>
      </c>
      <c r="P301" s="44">
        <f>SUM(R301)</f>
        <v>5902.6</v>
      </c>
      <c r="Q301" s="70" t="s">
        <v>260</v>
      </c>
      <c r="R301" s="44">
        <f>S301</f>
        <v>5902.6</v>
      </c>
      <c r="S301" s="44">
        <f>G301*T301</f>
        <v>5902.6</v>
      </c>
      <c r="T301" s="50">
        <v>1.1000000000000001</v>
      </c>
      <c r="U301" s="44">
        <f>I301*V301</f>
        <v>8109.639901181431</v>
      </c>
      <c r="V301" s="15">
        <f t="shared" si="80"/>
        <v>7636.195763824323</v>
      </c>
      <c r="W301" s="260">
        <f t="shared" si="81"/>
        <v>7636.195763824323</v>
      </c>
      <c r="X301" s="132">
        <f>9792*106.5%</f>
        <v>10428.48</v>
      </c>
    </row>
    <row r="302" spans="1:24" x14ac:dyDescent="0.25">
      <c r="A302" s="363"/>
      <c r="B302" s="104" t="s">
        <v>753</v>
      </c>
      <c r="C302" s="40">
        <v>4221</v>
      </c>
      <c r="D302" s="47">
        <f>C302*1.0582</f>
        <v>4466.6621999999998</v>
      </c>
      <c r="E302" s="47">
        <f t="shared" si="68"/>
        <v>4467</v>
      </c>
      <c r="F302" s="47">
        <f>E302*1.092</f>
        <v>4877.9639999999999</v>
      </c>
      <c r="G302" s="44">
        <v>5366</v>
      </c>
      <c r="H302" s="53">
        <f>J302*I302</f>
        <v>7136.631554976002</v>
      </c>
      <c r="I302" s="70">
        <v>1.0620000000000001</v>
      </c>
      <c r="J302" s="44">
        <f>K302*L302</f>
        <v>6719.9920480000019</v>
      </c>
      <c r="K302" s="70">
        <v>1.0640000000000001</v>
      </c>
      <c r="L302" s="44">
        <f t="shared" si="69"/>
        <v>6315.7820000000011</v>
      </c>
      <c r="M302" s="47">
        <v>1.07</v>
      </c>
      <c r="N302" s="44">
        <f t="shared" si="70"/>
        <v>5902.6</v>
      </c>
      <c r="O302" s="70" t="s">
        <v>260</v>
      </c>
      <c r="P302" s="44">
        <f>SUM(R302)</f>
        <v>5902.6</v>
      </c>
      <c r="Q302" s="70" t="s">
        <v>260</v>
      </c>
      <c r="R302" s="44">
        <f>S302</f>
        <v>5902.6</v>
      </c>
      <c r="S302" s="44">
        <f>G302*T302</f>
        <v>5902.6</v>
      </c>
      <c r="T302" s="50">
        <v>1.1000000000000001</v>
      </c>
      <c r="U302" s="44">
        <f>I302*V302</f>
        <v>8109.639901181431</v>
      </c>
      <c r="V302" s="15">
        <f t="shared" si="80"/>
        <v>7636.195763824323</v>
      </c>
      <c r="W302" s="260">
        <f t="shared" si="81"/>
        <v>7636.195763824323</v>
      </c>
      <c r="X302" s="132">
        <f>9792*106.5%</f>
        <v>10428.48</v>
      </c>
    </row>
    <row r="303" spans="1:24" x14ac:dyDescent="0.25">
      <c r="A303" s="363"/>
      <c r="B303" s="104" t="s">
        <v>754</v>
      </c>
      <c r="C303" s="40">
        <v>4221</v>
      </c>
      <c r="D303" s="47">
        <f>C303*1.0582</f>
        <v>4466.6621999999998</v>
      </c>
      <c r="E303" s="47">
        <f t="shared" si="68"/>
        <v>4467</v>
      </c>
      <c r="F303" s="47">
        <f>E303*1.092</f>
        <v>4877.9639999999999</v>
      </c>
      <c r="G303" s="44">
        <v>5366</v>
      </c>
      <c r="H303" s="53">
        <f>J303*I303</f>
        <v>7136.631554976002</v>
      </c>
      <c r="I303" s="70">
        <v>1.0620000000000001</v>
      </c>
      <c r="J303" s="44">
        <f>K303*L303</f>
        <v>6719.9920480000019</v>
      </c>
      <c r="K303" s="70">
        <v>1.0640000000000001</v>
      </c>
      <c r="L303" s="44">
        <f t="shared" si="69"/>
        <v>6315.7820000000011</v>
      </c>
      <c r="M303" s="47">
        <v>1.07</v>
      </c>
      <c r="N303" s="44">
        <f t="shared" si="70"/>
        <v>5902.6</v>
      </c>
      <c r="O303" s="70" t="s">
        <v>260</v>
      </c>
      <c r="P303" s="44">
        <f>SUM(R303)</f>
        <v>5902.6</v>
      </c>
      <c r="Q303" s="70" t="s">
        <v>260</v>
      </c>
      <c r="R303" s="44">
        <f>S303</f>
        <v>5902.6</v>
      </c>
      <c r="S303" s="44">
        <f>G303*T303</f>
        <v>5902.6</v>
      </c>
      <c r="T303" s="50">
        <v>1.1000000000000001</v>
      </c>
      <c r="U303" s="44">
        <f>I303*V303</f>
        <v>8109.639901181431</v>
      </c>
      <c r="V303" s="15">
        <f t="shared" si="80"/>
        <v>7636.195763824323</v>
      </c>
      <c r="W303" s="260">
        <f t="shared" si="81"/>
        <v>7636.195763824323</v>
      </c>
      <c r="X303" s="132">
        <f>9792*106.5%</f>
        <v>10428.48</v>
      </c>
    </row>
    <row r="304" spans="1:24" x14ac:dyDescent="0.25">
      <c r="A304" s="284" t="s">
        <v>149</v>
      </c>
      <c r="B304" s="104" t="s">
        <v>150</v>
      </c>
      <c r="C304" s="40"/>
      <c r="D304" s="47"/>
      <c r="E304" s="47"/>
      <c r="F304" s="47"/>
      <c r="G304" s="44"/>
      <c r="H304" s="53">
        <f>J304*I304</f>
        <v>60.453288000000008</v>
      </c>
      <c r="I304" s="70">
        <v>1.0620000000000001</v>
      </c>
      <c r="J304" s="44">
        <f>K304*L304</f>
        <v>56.924000000000007</v>
      </c>
      <c r="K304" s="70">
        <v>1.0640000000000001</v>
      </c>
      <c r="L304" s="44">
        <f t="shared" si="69"/>
        <v>53.5</v>
      </c>
      <c r="M304" s="47">
        <v>1.07</v>
      </c>
      <c r="N304" s="44">
        <f t="shared" si="70"/>
        <v>50</v>
      </c>
      <c r="O304" s="70" t="s">
        <v>260</v>
      </c>
      <c r="P304" s="44">
        <f>SUM(R304)</f>
        <v>50</v>
      </c>
      <c r="Q304" s="70" t="s">
        <v>260</v>
      </c>
      <c r="R304" s="44">
        <f>S304</f>
        <v>50</v>
      </c>
      <c r="S304" s="44">
        <v>50</v>
      </c>
      <c r="T304" s="50"/>
      <c r="U304" s="44">
        <v>51</v>
      </c>
      <c r="V304" s="15">
        <f t="shared" si="80"/>
        <v>64.685018160000013</v>
      </c>
      <c r="W304" s="260">
        <f t="shared" si="81"/>
        <v>64.685018160000013</v>
      </c>
      <c r="X304" s="132">
        <f>84*106.5%</f>
        <v>89.46</v>
      </c>
    </row>
    <row r="305" spans="1:24" ht="15.95" customHeight="1" x14ac:dyDescent="0.25">
      <c r="A305" s="381" t="s">
        <v>755</v>
      </c>
      <c r="B305" s="382"/>
      <c r="C305" s="382"/>
      <c r="D305" s="382"/>
      <c r="E305" s="382"/>
      <c r="F305" s="382"/>
      <c r="G305" s="382"/>
      <c r="H305" s="382"/>
      <c r="I305" s="382"/>
      <c r="J305" s="383"/>
      <c r="K305" s="47"/>
      <c r="L305" s="44"/>
      <c r="M305" s="47"/>
      <c r="N305" s="44"/>
      <c r="O305" s="70"/>
      <c r="P305" s="44"/>
      <c r="Q305" s="70"/>
      <c r="R305" s="44"/>
      <c r="S305" s="44"/>
      <c r="T305" s="50"/>
      <c r="U305" s="44"/>
      <c r="V305" s="15"/>
      <c r="X305" s="85"/>
    </row>
    <row r="306" spans="1:24" ht="29.25" customHeight="1" x14ac:dyDescent="0.25">
      <c r="A306" s="128" t="s">
        <v>198</v>
      </c>
      <c r="B306" s="345" t="s">
        <v>845</v>
      </c>
      <c r="C306" s="346"/>
      <c r="D306" s="346"/>
      <c r="E306" s="346"/>
      <c r="F306" s="346"/>
      <c r="G306" s="346"/>
      <c r="H306" s="346"/>
      <c r="I306" s="346"/>
      <c r="J306" s="347"/>
      <c r="K306" s="47"/>
      <c r="L306" s="44"/>
      <c r="M306" s="47"/>
      <c r="N306" s="44"/>
      <c r="O306" s="70"/>
      <c r="P306" s="44"/>
      <c r="Q306" s="70"/>
      <c r="R306" s="44"/>
      <c r="S306" s="44"/>
      <c r="T306" s="50"/>
      <c r="U306" s="44"/>
      <c r="V306" s="15"/>
      <c r="W306" s="228"/>
      <c r="X306" s="85"/>
    </row>
    <row r="307" spans="1:24" ht="17.100000000000001" customHeight="1" x14ac:dyDescent="0.25">
      <c r="A307" s="362" t="s">
        <v>199</v>
      </c>
      <c r="B307" s="356" t="s">
        <v>410</v>
      </c>
      <c r="C307" s="357"/>
      <c r="D307" s="357"/>
      <c r="E307" s="357"/>
      <c r="F307" s="357"/>
      <c r="G307" s="357"/>
      <c r="H307" s="357"/>
      <c r="I307" s="357"/>
      <c r="J307" s="358"/>
      <c r="K307" s="47"/>
      <c r="L307" s="44"/>
      <c r="M307" s="47"/>
      <c r="N307" s="44"/>
      <c r="O307" s="70"/>
      <c r="P307" s="44"/>
      <c r="Q307" s="70"/>
      <c r="R307" s="44"/>
      <c r="S307" s="44"/>
      <c r="T307" s="45"/>
      <c r="U307" s="44"/>
      <c r="V307" s="15"/>
      <c r="W307" s="228"/>
      <c r="X307" s="85"/>
    </row>
    <row r="308" spans="1:24" ht="15" customHeight="1" x14ac:dyDescent="0.25">
      <c r="A308" s="363"/>
      <c r="B308" s="108" t="s">
        <v>742</v>
      </c>
      <c r="C308" s="47">
        <v>61.865287952832013</v>
      </c>
      <c r="D308" s="47">
        <f>C308*1.0582</f>
        <v>65.465847711686834</v>
      </c>
      <c r="E308" s="47">
        <f t="shared" si="68"/>
        <v>65</v>
      </c>
      <c r="F308" s="47">
        <v>73.16</v>
      </c>
      <c r="G308" s="44">
        <v>80</v>
      </c>
      <c r="H308" s="53">
        <f>J308*I308</f>
        <v>106.39778688000001</v>
      </c>
      <c r="I308" s="70">
        <v>1.0620000000000001</v>
      </c>
      <c r="J308" s="44">
        <f>K308*L308</f>
        <v>100.18624000000001</v>
      </c>
      <c r="K308" s="70">
        <v>1.0640000000000001</v>
      </c>
      <c r="L308" s="44">
        <f>M308*N308</f>
        <v>94.160000000000011</v>
      </c>
      <c r="M308" s="47">
        <v>1.07</v>
      </c>
      <c r="N308" s="44">
        <f t="shared" si="70"/>
        <v>88</v>
      </c>
      <c r="O308" s="70" t="s">
        <v>260</v>
      </c>
      <c r="P308" s="44">
        <f>SUM(R308)</f>
        <v>88</v>
      </c>
      <c r="Q308" s="70" t="s">
        <v>260</v>
      </c>
      <c r="R308" s="44">
        <f>S308</f>
        <v>88</v>
      </c>
      <c r="S308" s="44">
        <f>G308*T308</f>
        <v>88</v>
      </c>
      <c r="T308" s="45">
        <v>1.1000000000000001</v>
      </c>
      <c r="U308" s="44">
        <f>I308*V308</f>
        <v>120.90406114321922</v>
      </c>
      <c r="V308" s="15">
        <f>H308*107%</f>
        <v>113.84563196160002</v>
      </c>
      <c r="W308" s="260">
        <f>V308</f>
        <v>113.84563196160002</v>
      </c>
      <c r="X308" s="132">
        <f>145*106.5%</f>
        <v>154.42499999999998</v>
      </c>
    </row>
    <row r="309" spans="1:24" ht="27.95" customHeight="1" x14ac:dyDescent="0.2">
      <c r="A309" s="363"/>
      <c r="B309" s="33" t="s">
        <v>281</v>
      </c>
      <c r="C309" s="46">
        <v>68.2</v>
      </c>
      <c r="D309" s="47">
        <v>72.169240000000002</v>
      </c>
      <c r="E309" s="47">
        <f>ROUND(D309,0)</f>
        <v>72</v>
      </c>
      <c r="F309" s="47">
        <f>E309*1.092</f>
        <v>78.624000000000009</v>
      </c>
      <c r="G309" s="44">
        <v>193</v>
      </c>
      <c r="H309" s="53">
        <f>J309*I309</f>
        <v>256.68466084800008</v>
      </c>
      <c r="I309" s="70">
        <v>1.0620000000000001</v>
      </c>
      <c r="J309" s="44">
        <f t="shared" ref="J309:J316" si="82">K309*L309</f>
        <v>241.69930400000004</v>
      </c>
      <c r="K309" s="70">
        <v>1.0640000000000001</v>
      </c>
      <c r="L309" s="44">
        <f t="shared" ref="L309:L316" si="83">M309*N309</f>
        <v>227.16100000000003</v>
      </c>
      <c r="M309" s="47">
        <v>1.07</v>
      </c>
      <c r="N309" s="44">
        <f t="shared" si="70"/>
        <v>212.3</v>
      </c>
      <c r="O309" s="70" t="s">
        <v>260</v>
      </c>
      <c r="P309" s="44">
        <f>SUM(R309)</f>
        <v>212.3</v>
      </c>
      <c r="Q309" s="70" t="s">
        <v>260</v>
      </c>
      <c r="R309" s="44">
        <f>S309</f>
        <v>212.3</v>
      </c>
      <c r="S309" s="44">
        <f>G309*T309</f>
        <v>212.3</v>
      </c>
      <c r="T309" s="45">
        <v>1.1000000000000001</v>
      </c>
      <c r="U309" s="44">
        <f>I309*V309</f>
        <v>291.68104750801643</v>
      </c>
      <c r="V309" s="203">
        <f>H309*107%</f>
        <v>274.65258710736009</v>
      </c>
      <c r="W309" s="266">
        <f>V309</f>
        <v>274.65258710736009</v>
      </c>
      <c r="X309" s="132">
        <f>352*106.5%</f>
        <v>374.88</v>
      </c>
    </row>
    <row r="310" spans="1:24" ht="27.95" customHeight="1" x14ac:dyDescent="0.2">
      <c r="A310" s="363"/>
      <c r="B310" s="33" t="s">
        <v>282</v>
      </c>
      <c r="C310" s="46"/>
      <c r="D310" s="47"/>
      <c r="E310" s="47">
        <v>615</v>
      </c>
      <c r="F310" s="47">
        <f>E310*1.092</f>
        <v>671.58</v>
      </c>
      <c r="G310" s="44">
        <v>740</v>
      </c>
      <c r="H310" s="198">
        <f>J310*I310</f>
        <v>984.17952864000029</v>
      </c>
      <c r="I310" s="70">
        <v>1.0620000000000001</v>
      </c>
      <c r="J310" s="44">
        <f t="shared" si="82"/>
        <v>926.72272000000021</v>
      </c>
      <c r="K310" s="70">
        <v>1.0640000000000001</v>
      </c>
      <c r="L310" s="44">
        <f t="shared" si="83"/>
        <v>870.98000000000013</v>
      </c>
      <c r="M310" s="47">
        <v>1.07</v>
      </c>
      <c r="N310" s="44">
        <f t="shared" si="70"/>
        <v>814.00000000000011</v>
      </c>
      <c r="O310" s="70" t="s">
        <v>260</v>
      </c>
      <c r="P310" s="44">
        <f>SUM(R310)</f>
        <v>814.00000000000011</v>
      </c>
      <c r="Q310" s="70" t="s">
        <v>260</v>
      </c>
      <c r="R310" s="44">
        <f>S310</f>
        <v>814.00000000000011</v>
      </c>
      <c r="S310" s="44">
        <f>G310*T310</f>
        <v>814.00000000000011</v>
      </c>
      <c r="T310" s="45">
        <v>1.1000000000000001</v>
      </c>
      <c r="U310" s="44">
        <f>I310*V310</f>
        <v>1118.362565574778</v>
      </c>
      <c r="V310" s="203">
        <f>H310*107%</f>
        <v>1053.0720956448004</v>
      </c>
      <c r="W310" s="266">
        <f>V310</f>
        <v>1053.0720956448004</v>
      </c>
      <c r="X310" s="132">
        <f>1351*106.5%</f>
        <v>1438.8149999999998</v>
      </c>
    </row>
    <row r="311" spans="1:24" ht="15" customHeight="1" x14ac:dyDescent="0.25">
      <c r="A311" s="362" t="s">
        <v>200</v>
      </c>
      <c r="B311" s="356" t="s">
        <v>385</v>
      </c>
      <c r="C311" s="357"/>
      <c r="D311" s="357"/>
      <c r="E311" s="357"/>
      <c r="F311" s="357"/>
      <c r="G311" s="357"/>
      <c r="H311" s="357"/>
      <c r="I311" s="357"/>
      <c r="J311" s="358"/>
      <c r="K311" s="70">
        <v>1.0640000000000001</v>
      </c>
      <c r="L311" s="44">
        <f t="shared" si="83"/>
        <v>0</v>
      </c>
      <c r="M311" s="47">
        <v>1.07</v>
      </c>
      <c r="N311" s="44"/>
      <c r="O311" s="70"/>
      <c r="P311" s="44"/>
      <c r="Q311" s="70"/>
      <c r="R311" s="44"/>
      <c r="S311" s="44"/>
      <c r="T311" s="50">
        <v>1.1000000000000001</v>
      </c>
      <c r="U311" s="44"/>
      <c r="V311" s="15"/>
      <c r="X311" s="132"/>
    </row>
    <row r="312" spans="1:24" ht="15" customHeight="1" x14ac:dyDescent="0.25">
      <c r="A312" s="363"/>
      <c r="B312" s="36" t="s">
        <v>641</v>
      </c>
      <c r="C312" s="47"/>
      <c r="D312" s="47"/>
      <c r="E312" s="47"/>
      <c r="F312" s="47">
        <v>98.58</v>
      </c>
      <c r="G312" s="44">
        <v>109</v>
      </c>
      <c r="H312" s="53">
        <f>J312*I312</f>
        <v>144.96698462400002</v>
      </c>
      <c r="I312" s="70">
        <v>1.0620000000000001</v>
      </c>
      <c r="J312" s="44">
        <f t="shared" si="82"/>
        <v>136.50375200000002</v>
      </c>
      <c r="K312" s="70">
        <v>1.0640000000000001</v>
      </c>
      <c r="L312" s="44">
        <f t="shared" si="83"/>
        <v>128.29300000000001</v>
      </c>
      <c r="M312" s="47">
        <v>1.07</v>
      </c>
      <c r="N312" s="44">
        <f t="shared" si="70"/>
        <v>119.9</v>
      </c>
      <c r="O312" s="70" t="s">
        <v>260</v>
      </c>
      <c r="P312" s="44">
        <f>SUM(R312)</f>
        <v>119.9</v>
      </c>
      <c r="Q312" s="70" t="s">
        <v>260</v>
      </c>
      <c r="R312" s="44">
        <f>S312</f>
        <v>119.9</v>
      </c>
      <c r="S312" s="44">
        <f>G312*T312</f>
        <v>119.9</v>
      </c>
      <c r="T312" s="50">
        <v>1.1000000000000001</v>
      </c>
      <c r="U312" s="44">
        <f>I312*V312</f>
        <v>164.73178330763622</v>
      </c>
      <c r="V312" s="15">
        <f>H312*107%</f>
        <v>155.11467354768004</v>
      </c>
      <c r="W312" s="260">
        <f>V312</f>
        <v>155.11467354768004</v>
      </c>
      <c r="X312" s="132">
        <f>199*106.5%</f>
        <v>211.935</v>
      </c>
    </row>
    <row r="313" spans="1:24" ht="15" customHeight="1" x14ac:dyDescent="0.25">
      <c r="A313" s="363"/>
      <c r="B313" s="36" t="s">
        <v>642</v>
      </c>
      <c r="C313" s="47"/>
      <c r="D313" s="47"/>
      <c r="E313" s="47"/>
      <c r="F313" s="47">
        <v>229.6</v>
      </c>
      <c r="G313" s="44">
        <v>253</v>
      </c>
      <c r="H313" s="53">
        <f>J313*I313</f>
        <v>336.48300100800003</v>
      </c>
      <c r="I313" s="70">
        <v>1.0620000000000001</v>
      </c>
      <c r="J313" s="44">
        <f t="shared" si="82"/>
        <v>316.83898400000004</v>
      </c>
      <c r="K313" s="70">
        <v>1.0640000000000001</v>
      </c>
      <c r="L313" s="44">
        <f t="shared" si="83"/>
        <v>297.78100000000001</v>
      </c>
      <c r="M313" s="47">
        <v>1.07</v>
      </c>
      <c r="N313" s="44">
        <f t="shared" si="70"/>
        <v>278.3</v>
      </c>
      <c r="O313" s="70" t="s">
        <v>260</v>
      </c>
      <c r="P313" s="44">
        <f>SUM(R313)</f>
        <v>278.3</v>
      </c>
      <c r="Q313" s="70" t="s">
        <v>260</v>
      </c>
      <c r="R313" s="44">
        <f>S313</f>
        <v>278.3</v>
      </c>
      <c r="S313" s="44">
        <f>G313*T313</f>
        <v>278.3</v>
      </c>
      <c r="T313" s="50">
        <v>1.1000000000000001</v>
      </c>
      <c r="U313" s="44">
        <f>I313*V313</f>
        <v>382.35909336543079</v>
      </c>
      <c r="V313" s="15">
        <f>H313*107%</f>
        <v>360.03681107856005</v>
      </c>
      <c r="W313" s="260">
        <f>V313</f>
        <v>360.03681107856005</v>
      </c>
      <c r="X313" s="132">
        <f>462*106.5%</f>
        <v>492.03</v>
      </c>
    </row>
    <row r="314" spans="1:24" ht="15" customHeight="1" x14ac:dyDescent="0.25">
      <c r="A314" s="363"/>
      <c r="B314" s="36" t="s">
        <v>643</v>
      </c>
      <c r="C314" s="47"/>
      <c r="D314" s="47"/>
      <c r="E314" s="47"/>
      <c r="F314" s="47">
        <v>659.18</v>
      </c>
      <c r="G314" s="44">
        <v>725</v>
      </c>
      <c r="H314" s="53">
        <f>J314*I314</f>
        <v>964.2299436000003</v>
      </c>
      <c r="I314" s="70">
        <v>1.0620000000000001</v>
      </c>
      <c r="J314" s="44">
        <f t="shared" si="82"/>
        <v>907.93780000000027</v>
      </c>
      <c r="K314" s="70">
        <v>1.0640000000000001</v>
      </c>
      <c r="L314" s="44">
        <f t="shared" si="83"/>
        <v>853.32500000000016</v>
      </c>
      <c r="M314" s="47">
        <v>1.07</v>
      </c>
      <c r="N314" s="44">
        <f t="shared" si="70"/>
        <v>797.50000000000011</v>
      </c>
      <c r="O314" s="70" t="s">
        <v>260</v>
      </c>
      <c r="P314" s="44">
        <f>SUM(R314)</f>
        <v>797.50000000000011</v>
      </c>
      <c r="Q314" s="70" t="s">
        <v>260</v>
      </c>
      <c r="R314" s="44">
        <f>S314</f>
        <v>797.50000000000011</v>
      </c>
      <c r="S314" s="44">
        <f>G314*T314</f>
        <v>797.50000000000011</v>
      </c>
      <c r="T314" s="50">
        <v>1.1000000000000001</v>
      </c>
      <c r="U314" s="44">
        <f>I314*V314</f>
        <v>1095.6930541104243</v>
      </c>
      <c r="V314" s="15">
        <f>H314*107%</f>
        <v>1031.7260396520003</v>
      </c>
      <c r="W314" s="260">
        <f>V314</f>
        <v>1031.7260396520003</v>
      </c>
      <c r="X314" s="132">
        <f>1324*106.5%</f>
        <v>1410.06</v>
      </c>
    </row>
    <row r="315" spans="1:24" ht="15" customHeight="1" x14ac:dyDescent="0.25">
      <c r="A315" s="128" t="s">
        <v>201</v>
      </c>
      <c r="B315" s="36" t="s">
        <v>384</v>
      </c>
      <c r="C315" s="47"/>
      <c r="D315" s="47"/>
      <c r="E315" s="47"/>
      <c r="F315" s="47">
        <v>30</v>
      </c>
      <c r="G315" s="44">
        <v>33</v>
      </c>
      <c r="H315" s="53">
        <f>J315*I315</f>
        <v>43.889087088000011</v>
      </c>
      <c r="I315" s="70">
        <v>1.0620000000000001</v>
      </c>
      <c r="J315" s="44">
        <f t="shared" si="82"/>
        <v>41.326824000000009</v>
      </c>
      <c r="K315" s="70">
        <v>1.0640000000000001</v>
      </c>
      <c r="L315" s="44">
        <f t="shared" si="83"/>
        <v>38.841000000000008</v>
      </c>
      <c r="M315" s="47">
        <v>1.07</v>
      </c>
      <c r="N315" s="44">
        <f t="shared" si="70"/>
        <v>36.300000000000004</v>
      </c>
      <c r="O315" s="70" t="s">
        <v>260</v>
      </c>
      <c r="P315" s="44">
        <f>SUM(R315)</f>
        <v>36.300000000000004</v>
      </c>
      <c r="Q315" s="70" t="s">
        <v>260</v>
      </c>
      <c r="R315" s="44">
        <f>S315</f>
        <v>36.300000000000004</v>
      </c>
      <c r="S315" s="44">
        <f>G315*T315</f>
        <v>36.300000000000004</v>
      </c>
      <c r="T315" s="50">
        <v>1.1000000000000001</v>
      </c>
      <c r="U315" s="44">
        <f>I315*V315</f>
        <v>49.872925221577937</v>
      </c>
      <c r="V315" s="15">
        <f>H315*107%</f>
        <v>46.961323184160015</v>
      </c>
      <c r="W315" s="260">
        <f>V315</f>
        <v>46.961323184160015</v>
      </c>
      <c r="X315" s="132">
        <f>60*106.5%</f>
        <v>63.9</v>
      </c>
    </row>
    <row r="316" spans="1:24" ht="27.95" customHeight="1" x14ac:dyDescent="0.2">
      <c r="A316" s="128" t="s">
        <v>383</v>
      </c>
      <c r="B316" s="289" t="s">
        <v>644</v>
      </c>
      <c r="C316" s="47"/>
      <c r="D316" s="47"/>
      <c r="E316" s="47">
        <v>234</v>
      </c>
      <c r="F316" s="47">
        <f t="shared" ref="F316:F385" si="84">E316*1.092</f>
        <v>255.52800000000002</v>
      </c>
      <c r="G316" s="44">
        <v>282</v>
      </c>
      <c r="H316" s="198">
        <f>J316*I316</f>
        <v>375.05219875200009</v>
      </c>
      <c r="I316" s="70">
        <v>1.0620000000000001</v>
      </c>
      <c r="J316" s="44">
        <f t="shared" si="82"/>
        <v>353.15649600000006</v>
      </c>
      <c r="K316" s="70">
        <v>1.0640000000000001</v>
      </c>
      <c r="L316" s="44">
        <f t="shared" si="83"/>
        <v>331.91400000000004</v>
      </c>
      <c r="M316" s="47">
        <v>1.07</v>
      </c>
      <c r="N316" s="44">
        <f t="shared" si="70"/>
        <v>310.20000000000005</v>
      </c>
      <c r="O316" s="70" t="s">
        <v>260</v>
      </c>
      <c r="P316" s="44">
        <f>SUM(R316)</f>
        <v>310.20000000000005</v>
      </c>
      <c r="Q316" s="70" t="s">
        <v>260</v>
      </c>
      <c r="R316" s="44">
        <f>S316</f>
        <v>310.20000000000005</v>
      </c>
      <c r="S316" s="44">
        <f>G316*T316</f>
        <v>310.20000000000005</v>
      </c>
      <c r="T316" s="50">
        <v>1.1000000000000001</v>
      </c>
      <c r="U316" s="44">
        <f>I316*V316</f>
        <v>426.18681552984782</v>
      </c>
      <c r="V316" s="203">
        <f>H316*107%</f>
        <v>401.3058526646401</v>
      </c>
      <c r="W316" s="266">
        <f>V316</f>
        <v>401.3058526646401</v>
      </c>
      <c r="X316" s="132">
        <f>513*106.5%</f>
        <v>546.34500000000003</v>
      </c>
    </row>
    <row r="317" spans="1:24" ht="27.95" customHeight="1" x14ac:dyDescent="0.25">
      <c r="A317" s="362" t="s">
        <v>388</v>
      </c>
      <c r="B317" s="356" t="s">
        <v>638</v>
      </c>
      <c r="C317" s="357"/>
      <c r="D317" s="357"/>
      <c r="E317" s="357"/>
      <c r="F317" s="357"/>
      <c r="G317" s="357"/>
      <c r="H317" s="357"/>
      <c r="I317" s="357"/>
      <c r="J317" s="358"/>
      <c r="K317" s="47"/>
      <c r="L317" s="44"/>
      <c r="M317" s="47"/>
      <c r="N317" s="44"/>
      <c r="O317" s="70"/>
      <c r="P317" s="44"/>
      <c r="Q317" s="70"/>
      <c r="R317" s="44"/>
      <c r="S317" s="44"/>
      <c r="T317" s="50"/>
      <c r="U317" s="44"/>
      <c r="V317" s="15"/>
      <c r="X317" s="132"/>
    </row>
    <row r="318" spans="1:24" ht="15" customHeight="1" x14ac:dyDescent="0.25">
      <c r="A318" s="363"/>
      <c r="B318" s="289" t="s">
        <v>639</v>
      </c>
      <c r="C318" s="47"/>
      <c r="D318" s="47"/>
      <c r="E318" s="47">
        <v>60</v>
      </c>
      <c r="F318" s="47">
        <f t="shared" si="84"/>
        <v>65.52000000000001</v>
      </c>
      <c r="G318" s="44">
        <v>73</v>
      </c>
      <c r="H318" s="53">
        <f>J318*I318</f>
        <v>97.087980528000031</v>
      </c>
      <c r="I318" s="70">
        <v>1.0620000000000001</v>
      </c>
      <c r="J318" s="44">
        <f>K318*L318</f>
        <v>91.419944000000029</v>
      </c>
      <c r="K318" s="70">
        <v>1.0640000000000001</v>
      </c>
      <c r="L318" s="44">
        <f>M318*N318</f>
        <v>85.921000000000021</v>
      </c>
      <c r="M318" s="47">
        <v>1.07</v>
      </c>
      <c r="N318" s="44">
        <f t="shared" si="70"/>
        <v>80.300000000000011</v>
      </c>
      <c r="O318" s="70" t="s">
        <v>260</v>
      </c>
      <c r="P318" s="44">
        <f>SUM(R318)</f>
        <v>80.300000000000011</v>
      </c>
      <c r="Q318" s="70" t="s">
        <v>260</v>
      </c>
      <c r="R318" s="44">
        <f>S318</f>
        <v>80.300000000000011</v>
      </c>
      <c r="S318" s="44">
        <f>G318*T318</f>
        <v>80.300000000000011</v>
      </c>
      <c r="T318" s="50">
        <v>1.1000000000000001</v>
      </c>
      <c r="U318" s="44">
        <f>I318*V318</f>
        <v>110.32495579318756</v>
      </c>
      <c r="V318" s="15">
        <f>H318*107%</f>
        <v>103.88413916496003</v>
      </c>
      <c r="W318" s="260">
        <f>V318</f>
        <v>103.88413916496003</v>
      </c>
      <c r="X318" s="132">
        <f>134*106.5%</f>
        <v>142.70999999999998</v>
      </c>
    </row>
    <row r="319" spans="1:24" ht="15" customHeight="1" x14ac:dyDescent="0.25">
      <c r="A319" s="363"/>
      <c r="B319" s="289" t="s">
        <v>640</v>
      </c>
      <c r="C319" s="47"/>
      <c r="D319" s="47"/>
      <c r="E319" s="47">
        <v>70</v>
      </c>
      <c r="F319" s="47">
        <f t="shared" si="84"/>
        <v>76.440000000000012</v>
      </c>
      <c r="G319" s="44">
        <v>84</v>
      </c>
      <c r="H319" s="53">
        <f>J319*I319</f>
        <v>111.71767622400003</v>
      </c>
      <c r="I319" s="70">
        <v>1.0620000000000001</v>
      </c>
      <c r="J319" s="44">
        <f>K319*L319</f>
        <v>105.19555200000002</v>
      </c>
      <c r="K319" s="70">
        <v>1.0640000000000001</v>
      </c>
      <c r="L319" s="44">
        <f>M319*N319</f>
        <v>98.868000000000009</v>
      </c>
      <c r="M319" s="47">
        <v>1.07</v>
      </c>
      <c r="N319" s="44">
        <f t="shared" si="70"/>
        <v>92.4</v>
      </c>
      <c r="O319" s="70" t="s">
        <v>260</v>
      </c>
      <c r="P319" s="44">
        <f>SUM(R319)</f>
        <v>92.4</v>
      </c>
      <c r="Q319" s="70" t="s">
        <v>260</v>
      </c>
      <c r="R319" s="44">
        <f>S319</f>
        <v>92.4</v>
      </c>
      <c r="S319" s="44">
        <f>G319*T319</f>
        <v>92.4</v>
      </c>
      <c r="T319" s="50">
        <v>1.1000000000000001</v>
      </c>
      <c r="U319" s="44">
        <f>I319*V319</f>
        <v>126.9492642003802</v>
      </c>
      <c r="V319" s="15">
        <f>H319*107%</f>
        <v>119.53791355968004</v>
      </c>
      <c r="W319" s="260">
        <f>V319</f>
        <v>119.53791355968004</v>
      </c>
      <c r="X319" s="132">
        <f>155*106.5%</f>
        <v>165.07499999999999</v>
      </c>
    </row>
    <row r="320" spans="1:24" ht="15" customHeight="1" x14ac:dyDescent="0.25">
      <c r="A320" s="363"/>
      <c r="B320" s="289" t="s">
        <v>641</v>
      </c>
      <c r="C320" s="47"/>
      <c r="D320" s="47"/>
      <c r="E320" s="47">
        <v>140</v>
      </c>
      <c r="F320" s="47">
        <f t="shared" si="84"/>
        <v>152.88000000000002</v>
      </c>
      <c r="G320" s="44">
        <v>168</v>
      </c>
      <c r="H320" s="53">
        <f>J320*I320</f>
        <v>223.43535244800006</v>
      </c>
      <c r="I320" s="70">
        <v>1.0620000000000001</v>
      </c>
      <c r="J320" s="44">
        <f>K320*L320</f>
        <v>210.39110400000004</v>
      </c>
      <c r="K320" s="70">
        <v>1.0640000000000001</v>
      </c>
      <c r="L320" s="44">
        <f>M320*N320</f>
        <v>197.73600000000002</v>
      </c>
      <c r="M320" s="47">
        <v>1.07</v>
      </c>
      <c r="N320" s="44">
        <f t="shared" si="70"/>
        <v>184.8</v>
      </c>
      <c r="O320" s="70" t="s">
        <v>260</v>
      </c>
      <c r="P320" s="44">
        <f>SUM(R320)</f>
        <v>184.8</v>
      </c>
      <c r="Q320" s="70" t="s">
        <v>260</v>
      </c>
      <c r="R320" s="44">
        <f>S320</f>
        <v>184.8</v>
      </c>
      <c r="S320" s="44">
        <f>G320*T320</f>
        <v>184.8</v>
      </c>
      <c r="T320" s="50">
        <v>1.1000000000000001</v>
      </c>
      <c r="U320" s="44">
        <f>I320*V320</f>
        <v>253.8985284007604</v>
      </c>
      <c r="V320" s="15">
        <f>H320*107%</f>
        <v>239.07582711936007</v>
      </c>
      <c r="W320" s="260">
        <f>V320</f>
        <v>239.07582711936007</v>
      </c>
      <c r="X320" s="132">
        <f>305*106.5%</f>
        <v>324.82499999999999</v>
      </c>
    </row>
    <row r="321" spans="1:24" ht="15" customHeight="1" x14ac:dyDescent="0.25">
      <c r="A321" s="363"/>
      <c r="B321" s="289" t="s">
        <v>642</v>
      </c>
      <c r="C321" s="47"/>
      <c r="D321" s="47"/>
      <c r="E321" s="47">
        <v>300</v>
      </c>
      <c r="F321" s="47">
        <f t="shared" si="84"/>
        <v>327.60000000000002</v>
      </c>
      <c r="G321" s="44">
        <v>361</v>
      </c>
      <c r="H321" s="53">
        <f>J321*I321</f>
        <v>480.12001329600014</v>
      </c>
      <c r="I321" s="70">
        <v>1.0620000000000001</v>
      </c>
      <c r="J321" s="44">
        <f>K321*L321</f>
        <v>452.09040800000008</v>
      </c>
      <c r="K321" s="70">
        <v>1.0640000000000001</v>
      </c>
      <c r="L321" s="44">
        <f>M321*N321</f>
        <v>424.89700000000005</v>
      </c>
      <c r="M321" s="47">
        <v>1.07</v>
      </c>
      <c r="N321" s="44">
        <f t="shared" si="70"/>
        <v>397.1</v>
      </c>
      <c r="O321" s="70" t="s">
        <v>260</v>
      </c>
      <c r="P321" s="44">
        <f>SUM(R321)</f>
        <v>397.1</v>
      </c>
      <c r="Q321" s="70" t="s">
        <v>260</v>
      </c>
      <c r="R321" s="44">
        <f>S321</f>
        <v>397.1</v>
      </c>
      <c r="S321" s="44">
        <f>G321*T321</f>
        <v>397.1</v>
      </c>
      <c r="T321" s="50">
        <v>1.1000000000000001</v>
      </c>
      <c r="U321" s="44">
        <f>I321*V321</f>
        <v>545.57957590877686</v>
      </c>
      <c r="V321" s="15">
        <f>H321*107%</f>
        <v>513.72841422672013</v>
      </c>
      <c r="W321" s="260">
        <f>V321</f>
        <v>513.72841422672013</v>
      </c>
      <c r="X321" s="132">
        <f>658*106.5%</f>
        <v>700.77</v>
      </c>
    </row>
    <row r="322" spans="1:24" ht="15" customHeight="1" x14ac:dyDescent="0.25">
      <c r="A322" s="363"/>
      <c r="B322" s="289" t="s">
        <v>643</v>
      </c>
      <c r="C322" s="47"/>
      <c r="D322" s="47"/>
      <c r="E322" s="47">
        <v>600</v>
      </c>
      <c r="F322" s="47">
        <f t="shared" si="84"/>
        <v>655.20000000000005</v>
      </c>
      <c r="G322" s="44">
        <v>721</v>
      </c>
      <c r="H322" s="53">
        <f>J322*I322</f>
        <v>1146.1943404800002</v>
      </c>
      <c r="I322" s="70">
        <v>1.0620000000000001</v>
      </c>
      <c r="J322" s="44">
        <f>K322*L322</f>
        <v>1079.2790400000001</v>
      </c>
      <c r="K322" s="70">
        <v>1.0640000000000001</v>
      </c>
      <c r="L322" s="44">
        <f>M322*N322</f>
        <v>1014.36</v>
      </c>
      <c r="M322" s="47">
        <v>1.07</v>
      </c>
      <c r="N322" s="44">
        <v>948</v>
      </c>
      <c r="O322" s="113" t="s">
        <v>258</v>
      </c>
      <c r="P322" s="53">
        <v>882</v>
      </c>
      <c r="Q322" s="113" t="s">
        <v>258</v>
      </c>
      <c r="R322" s="44">
        <v>813</v>
      </c>
      <c r="S322" s="44">
        <v>813</v>
      </c>
      <c r="T322" s="50">
        <v>1.1000000000000001</v>
      </c>
      <c r="U322" s="44">
        <v>-810.8</v>
      </c>
      <c r="V322" s="15">
        <f>H322*107%</f>
        <v>1226.4279443136002</v>
      </c>
      <c r="W322" s="260">
        <f>V322</f>
        <v>1226.4279443136002</v>
      </c>
      <c r="X322" s="132">
        <f>1571*106.5%</f>
        <v>1673.115</v>
      </c>
    </row>
    <row r="323" spans="1:24" ht="27.95" customHeight="1" x14ac:dyDescent="0.25">
      <c r="A323" s="362" t="s">
        <v>389</v>
      </c>
      <c r="B323" s="356" t="s">
        <v>637</v>
      </c>
      <c r="C323" s="357"/>
      <c r="D323" s="357"/>
      <c r="E323" s="357"/>
      <c r="F323" s="357"/>
      <c r="G323" s="357"/>
      <c r="H323" s="357"/>
      <c r="I323" s="357"/>
      <c r="J323" s="358"/>
      <c r="K323" s="47"/>
      <c r="L323" s="44"/>
      <c r="M323" s="47"/>
      <c r="N323" s="44"/>
      <c r="O323" s="70"/>
      <c r="P323" s="44"/>
      <c r="Q323" s="70"/>
      <c r="R323" s="44"/>
      <c r="S323" s="44"/>
      <c r="T323" s="50"/>
      <c r="U323" s="44"/>
      <c r="V323" s="15"/>
      <c r="X323" s="132"/>
    </row>
    <row r="324" spans="1:24" ht="14.1" customHeight="1" x14ac:dyDescent="0.25">
      <c r="A324" s="363"/>
      <c r="B324" s="36" t="s">
        <v>615</v>
      </c>
      <c r="C324" s="47">
        <v>85.310209962432026</v>
      </c>
      <c r="D324" s="47">
        <f>C324*1.0582</f>
        <v>90.275264182245579</v>
      </c>
      <c r="E324" s="47">
        <v>250</v>
      </c>
      <c r="F324" s="47">
        <f t="shared" si="84"/>
        <v>273</v>
      </c>
      <c r="G324" s="44">
        <v>300</v>
      </c>
      <c r="H324" s="53">
        <f>J324*I324</f>
        <v>398.99170080000005</v>
      </c>
      <c r="I324" s="70">
        <v>1.0620000000000001</v>
      </c>
      <c r="J324" s="44">
        <f>K324*L324</f>
        <v>375.69840000000005</v>
      </c>
      <c r="K324" s="70">
        <v>1.0640000000000001</v>
      </c>
      <c r="L324" s="44">
        <f>M324*N324</f>
        <v>353.1</v>
      </c>
      <c r="M324" s="47">
        <v>1.07</v>
      </c>
      <c r="N324" s="44">
        <f>P324</f>
        <v>330</v>
      </c>
      <c r="O324" s="70" t="s">
        <v>260</v>
      </c>
      <c r="P324" s="44">
        <f t="shared" ref="P324:P352" si="85">SUM(R324)</f>
        <v>330</v>
      </c>
      <c r="Q324" s="70" t="s">
        <v>260</v>
      </c>
      <c r="R324" s="44">
        <f>S324</f>
        <v>330</v>
      </c>
      <c r="S324" s="44">
        <f>G324*T324</f>
        <v>330</v>
      </c>
      <c r="T324" s="50">
        <v>1.1000000000000001</v>
      </c>
      <c r="U324" s="44">
        <f>I324*V324</f>
        <v>453.39022928707209</v>
      </c>
      <c r="V324" s="15">
        <f>H324*107%</f>
        <v>426.92111985600008</v>
      </c>
      <c r="W324" s="260">
        <f>V324</f>
        <v>426.92111985600008</v>
      </c>
      <c r="X324" s="132">
        <f>5748*106.5%</f>
        <v>6121.62</v>
      </c>
    </row>
    <row r="325" spans="1:24" ht="14.1" customHeight="1" x14ac:dyDescent="0.25">
      <c r="A325" s="363"/>
      <c r="B325" s="36" t="s">
        <v>616</v>
      </c>
      <c r="C325" s="47">
        <v>198.69571403136001</v>
      </c>
      <c r="D325" s="47">
        <f>C325*1.0582</f>
        <v>210.25980458798517</v>
      </c>
      <c r="E325" s="47">
        <v>550</v>
      </c>
      <c r="F325" s="47">
        <f t="shared" si="84"/>
        <v>600.6</v>
      </c>
      <c r="G325" s="44">
        <v>661</v>
      </c>
      <c r="H325" s="53">
        <f>J325*I325</f>
        <v>879.11171409600013</v>
      </c>
      <c r="I325" s="70">
        <v>1.0620000000000001</v>
      </c>
      <c r="J325" s="44">
        <f>K325*L325</f>
        <v>827.78880800000013</v>
      </c>
      <c r="K325" s="70">
        <v>1.0640000000000001</v>
      </c>
      <c r="L325" s="44">
        <f>M325*N325</f>
        <v>777.99700000000007</v>
      </c>
      <c r="M325" s="47">
        <v>1.07</v>
      </c>
      <c r="N325" s="44">
        <f t="shared" ref="N325:N331" si="86">P325</f>
        <v>727.1</v>
      </c>
      <c r="O325" s="70" t="s">
        <v>260</v>
      </c>
      <c r="P325" s="44">
        <f t="shared" si="85"/>
        <v>727.1</v>
      </c>
      <c r="Q325" s="70" t="s">
        <v>260</v>
      </c>
      <c r="R325" s="44">
        <f>S325</f>
        <v>727.1</v>
      </c>
      <c r="S325" s="44">
        <f>G325*T325</f>
        <v>727.1</v>
      </c>
      <c r="T325" s="50">
        <v>1.1000000000000001</v>
      </c>
      <c r="U325" s="44">
        <f>I325*V325</f>
        <v>998.96980519584883</v>
      </c>
      <c r="V325" s="15">
        <f>H325*107%</f>
        <v>940.64953408272015</v>
      </c>
      <c r="W325" s="260">
        <f>V325</f>
        <v>940.64953408272015</v>
      </c>
      <c r="X325" s="132">
        <f>1207*106.5%</f>
        <v>1285.4549999999999</v>
      </c>
    </row>
    <row r="326" spans="1:24" ht="14.1" customHeight="1" x14ac:dyDescent="0.25">
      <c r="A326" s="363"/>
      <c r="B326" s="36" t="s">
        <v>617</v>
      </c>
      <c r="C326" s="47">
        <v>570.44425864608013</v>
      </c>
      <c r="D326" s="47">
        <f>C326*1.0582</f>
        <v>603.64411449928195</v>
      </c>
      <c r="E326" s="47">
        <v>800</v>
      </c>
      <c r="F326" s="47">
        <f t="shared" si="84"/>
        <v>873.6</v>
      </c>
      <c r="G326" s="44">
        <v>961</v>
      </c>
      <c r="H326" s="53">
        <f>J326*I326</f>
        <v>1278.1034148960002</v>
      </c>
      <c r="I326" s="70">
        <v>1.0620000000000001</v>
      </c>
      <c r="J326" s="44">
        <f>K326*L326</f>
        <v>1203.4872080000002</v>
      </c>
      <c r="K326" s="70">
        <v>1.0640000000000001</v>
      </c>
      <c r="L326" s="44">
        <f>M326*N326</f>
        <v>1131.0970000000002</v>
      </c>
      <c r="M326" s="47">
        <v>1.07</v>
      </c>
      <c r="N326" s="44">
        <f t="shared" si="86"/>
        <v>1057.1000000000001</v>
      </c>
      <c r="O326" s="70" t="s">
        <v>260</v>
      </c>
      <c r="P326" s="44">
        <f t="shared" si="85"/>
        <v>1057.1000000000001</v>
      </c>
      <c r="Q326" s="70" t="s">
        <v>260</v>
      </c>
      <c r="R326" s="44">
        <f>S326</f>
        <v>1057.1000000000001</v>
      </c>
      <c r="S326" s="44">
        <f>G326*T326</f>
        <v>1057.1000000000001</v>
      </c>
      <c r="T326" s="50">
        <v>1.1000000000000001</v>
      </c>
      <c r="U326" s="44">
        <f>I326*V326</f>
        <v>1452.360034482921</v>
      </c>
      <c r="V326" s="15">
        <f>H326*107%</f>
        <v>1367.5706539387204</v>
      </c>
      <c r="W326" s="260">
        <f>V326</f>
        <v>1367.5706539387204</v>
      </c>
      <c r="X326" s="132">
        <f>1754*106.5%</f>
        <v>1868.01</v>
      </c>
    </row>
    <row r="327" spans="1:24" ht="27.95" customHeight="1" x14ac:dyDescent="0.25">
      <c r="A327" s="362" t="s">
        <v>390</v>
      </c>
      <c r="B327" s="356" t="s">
        <v>645</v>
      </c>
      <c r="C327" s="357"/>
      <c r="D327" s="357"/>
      <c r="E327" s="357"/>
      <c r="F327" s="357"/>
      <c r="G327" s="357"/>
      <c r="H327" s="357"/>
      <c r="I327" s="357"/>
      <c r="J327" s="358"/>
      <c r="K327" s="47"/>
      <c r="L327" s="44"/>
      <c r="M327" s="47"/>
      <c r="N327" s="44"/>
      <c r="O327" s="70"/>
      <c r="P327" s="44"/>
      <c r="Q327" s="70"/>
      <c r="R327" s="44"/>
      <c r="S327" s="44"/>
      <c r="T327" s="50"/>
      <c r="U327" s="44"/>
      <c r="V327" s="15"/>
      <c r="X327" s="132"/>
    </row>
    <row r="328" spans="1:24" ht="15" customHeight="1" x14ac:dyDescent="0.25">
      <c r="A328" s="363"/>
      <c r="B328" s="289" t="s">
        <v>639</v>
      </c>
      <c r="C328" s="47"/>
      <c r="D328" s="47"/>
      <c r="E328" s="47">
        <v>1000</v>
      </c>
      <c r="F328" s="47">
        <f t="shared" si="84"/>
        <v>1092</v>
      </c>
      <c r="G328" s="44">
        <v>1201</v>
      </c>
      <c r="H328" s="53">
        <f t="shared" ref="H328:H345" si="87">J328*I328</f>
        <v>1597.2967755360003</v>
      </c>
      <c r="I328" s="70">
        <v>1.0620000000000001</v>
      </c>
      <c r="J328" s="44">
        <f>K328*L328</f>
        <v>1504.0459280000002</v>
      </c>
      <c r="K328" s="70">
        <v>1.0640000000000001</v>
      </c>
      <c r="L328" s="44">
        <f>M328*N328</f>
        <v>1413.5770000000002</v>
      </c>
      <c r="M328" s="47">
        <v>1.07</v>
      </c>
      <c r="N328" s="44">
        <f t="shared" si="86"/>
        <v>1321.1000000000001</v>
      </c>
      <c r="O328" s="70" t="s">
        <v>260</v>
      </c>
      <c r="P328" s="44">
        <f t="shared" si="85"/>
        <v>1321.1000000000001</v>
      </c>
      <c r="Q328" s="70" t="s">
        <v>260</v>
      </c>
      <c r="R328" s="44">
        <f>S328</f>
        <v>1321.1000000000001</v>
      </c>
      <c r="S328" s="44">
        <f t="shared" ref="S328:U345" si="88">G328*T328</f>
        <v>1321.1000000000001</v>
      </c>
      <c r="T328" s="50">
        <v>1.1000000000000001</v>
      </c>
      <c r="U328" s="44">
        <f t="shared" si="88"/>
        <v>1815.0722179125787</v>
      </c>
      <c r="V328" s="15">
        <f t="shared" ref="V328:V345" si="89">H328*107%</f>
        <v>1709.1075498235205</v>
      </c>
      <c r="W328" s="260">
        <f t="shared" ref="W328:W345" si="90">V328</f>
        <v>1709.1075498235205</v>
      </c>
      <c r="X328" s="132">
        <f>2191*106.5%</f>
        <v>2333.415</v>
      </c>
    </row>
    <row r="329" spans="1:24" ht="15" customHeight="1" x14ac:dyDescent="0.25">
      <c r="A329" s="363"/>
      <c r="B329" s="289" t="s">
        <v>640</v>
      </c>
      <c r="C329" s="47"/>
      <c r="D329" s="47"/>
      <c r="E329" s="47">
        <v>2500</v>
      </c>
      <c r="F329" s="47">
        <f t="shared" si="84"/>
        <v>2730</v>
      </c>
      <c r="G329" s="44">
        <v>3003</v>
      </c>
      <c r="H329" s="53">
        <f t="shared" si="87"/>
        <v>3993.9069250080006</v>
      </c>
      <c r="I329" s="70">
        <v>1.0620000000000001</v>
      </c>
      <c r="J329" s="44">
        <f t="shared" ref="J329:J350" si="91">K329*L329</f>
        <v>3760.7409840000005</v>
      </c>
      <c r="K329" s="70">
        <v>1.0640000000000001</v>
      </c>
      <c r="L329" s="44">
        <f t="shared" ref="L329:L350" si="92">M329*N329</f>
        <v>3534.5310000000004</v>
      </c>
      <c r="M329" s="47">
        <v>1.07</v>
      </c>
      <c r="N329" s="44">
        <f t="shared" si="86"/>
        <v>3303.3</v>
      </c>
      <c r="O329" s="70" t="s">
        <v>260</v>
      </c>
      <c r="P329" s="44">
        <f t="shared" si="85"/>
        <v>3303.3</v>
      </c>
      <c r="Q329" s="70" t="s">
        <v>260</v>
      </c>
      <c r="R329" s="44">
        <f>S329</f>
        <v>3303.3</v>
      </c>
      <c r="S329" s="44">
        <f t="shared" si="88"/>
        <v>3303.3</v>
      </c>
      <c r="T329" s="50">
        <v>1.1000000000000001</v>
      </c>
      <c r="U329" s="44">
        <f t="shared" si="88"/>
        <v>4538.4361951635919</v>
      </c>
      <c r="V329" s="15">
        <f t="shared" si="89"/>
        <v>4273.4804097585611</v>
      </c>
      <c r="W329" s="260">
        <f t="shared" si="90"/>
        <v>4273.4804097585611</v>
      </c>
      <c r="X329" s="132">
        <f>5480*106.5%</f>
        <v>5836.2</v>
      </c>
    </row>
    <row r="330" spans="1:24" ht="15" customHeight="1" x14ac:dyDescent="0.25">
      <c r="A330" s="363"/>
      <c r="B330" s="289" t="s">
        <v>641</v>
      </c>
      <c r="C330" s="47"/>
      <c r="D330" s="47"/>
      <c r="E330" s="47">
        <v>6700</v>
      </c>
      <c r="F330" s="47">
        <f t="shared" si="84"/>
        <v>7316.4000000000005</v>
      </c>
      <c r="G330" s="44">
        <v>8048</v>
      </c>
      <c r="H330" s="53">
        <f t="shared" si="87"/>
        <v>10703.617360128002</v>
      </c>
      <c r="I330" s="70">
        <v>1.0620000000000001</v>
      </c>
      <c r="J330" s="44">
        <f t="shared" si="91"/>
        <v>10078.735744000001</v>
      </c>
      <c r="K330" s="70">
        <v>1.0640000000000001</v>
      </c>
      <c r="L330" s="44">
        <f t="shared" si="92"/>
        <v>9472.496000000001</v>
      </c>
      <c r="M330" s="47">
        <v>1.07</v>
      </c>
      <c r="N330" s="44">
        <f t="shared" si="86"/>
        <v>8852.8000000000011</v>
      </c>
      <c r="O330" s="70" t="s">
        <v>260</v>
      </c>
      <c r="P330" s="44">
        <f t="shared" si="85"/>
        <v>8852.8000000000011</v>
      </c>
      <c r="Q330" s="70" t="s">
        <v>260</v>
      </c>
      <c r="R330" s="44">
        <f>S330</f>
        <v>8852.8000000000011</v>
      </c>
      <c r="S330" s="44">
        <f t="shared" si="88"/>
        <v>8852.8000000000011</v>
      </c>
      <c r="T330" s="50">
        <v>1.1000000000000001</v>
      </c>
      <c r="U330" s="44">
        <f t="shared" si="88"/>
        <v>12162.948551007856</v>
      </c>
      <c r="V330" s="15">
        <f t="shared" si="89"/>
        <v>11452.870575336963</v>
      </c>
      <c r="W330" s="260">
        <f t="shared" si="90"/>
        <v>11452.870575336963</v>
      </c>
      <c r="X330" s="132">
        <f>14687*106.5%</f>
        <v>15641.654999999999</v>
      </c>
    </row>
    <row r="331" spans="1:24" ht="15" customHeight="1" x14ac:dyDescent="0.25">
      <c r="A331" s="363"/>
      <c r="B331" s="289" t="s">
        <v>642</v>
      </c>
      <c r="C331" s="47"/>
      <c r="D331" s="47"/>
      <c r="E331" s="47">
        <v>15600</v>
      </c>
      <c r="F331" s="47">
        <f t="shared" si="84"/>
        <v>17035.2</v>
      </c>
      <c r="G331" s="44">
        <v>18740</v>
      </c>
      <c r="H331" s="53">
        <f t="shared" si="87"/>
        <v>24923.681576640003</v>
      </c>
      <c r="I331" s="70">
        <v>1.0620000000000001</v>
      </c>
      <c r="J331" s="44">
        <f t="shared" si="91"/>
        <v>23468.62672</v>
      </c>
      <c r="K331" s="70">
        <v>1.0640000000000001</v>
      </c>
      <c r="L331" s="44">
        <f t="shared" si="92"/>
        <v>22056.98</v>
      </c>
      <c r="M331" s="47">
        <v>1.07</v>
      </c>
      <c r="N331" s="44">
        <f t="shared" si="86"/>
        <v>20614</v>
      </c>
      <c r="O331" s="70" t="s">
        <v>260</v>
      </c>
      <c r="P331" s="44">
        <f t="shared" si="85"/>
        <v>20614</v>
      </c>
      <c r="Q331" s="70" t="s">
        <v>260</v>
      </c>
      <c r="R331" s="44">
        <f>S331</f>
        <v>20614</v>
      </c>
      <c r="S331" s="44">
        <f t="shared" si="88"/>
        <v>20614</v>
      </c>
      <c r="T331" s="50">
        <v>1.1000000000000001</v>
      </c>
      <c r="U331" s="44">
        <f t="shared" si="88"/>
        <v>28321.776322799105</v>
      </c>
      <c r="V331" s="15">
        <f t="shared" si="89"/>
        <v>26668.339287004805</v>
      </c>
      <c r="W331" s="260">
        <f t="shared" si="90"/>
        <v>26668.339287004805</v>
      </c>
      <c r="X331" s="132">
        <f>34198*106.5%</f>
        <v>36420.869999999995</v>
      </c>
    </row>
    <row r="332" spans="1:24" ht="15" customHeight="1" x14ac:dyDescent="0.25">
      <c r="A332" s="387" t="s">
        <v>391</v>
      </c>
      <c r="B332" s="36" t="s">
        <v>646</v>
      </c>
      <c r="C332" s="47"/>
      <c r="D332" s="47"/>
      <c r="E332" s="47">
        <v>450</v>
      </c>
      <c r="F332" s="47">
        <f t="shared" si="84"/>
        <v>491.40000000000003</v>
      </c>
      <c r="G332" s="44">
        <v>540</v>
      </c>
      <c r="H332" s="53">
        <f t="shared" si="87"/>
        <v>859.64575536000018</v>
      </c>
      <c r="I332" s="70">
        <v>1.0620000000000001</v>
      </c>
      <c r="J332" s="44">
        <f t="shared" si="91"/>
        <v>809.45928000000015</v>
      </c>
      <c r="K332" s="70">
        <v>1.0640000000000001</v>
      </c>
      <c r="L332" s="44">
        <f t="shared" si="92"/>
        <v>760.7700000000001</v>
      </c>
      <c r="M332" s="47">
        <v>1.07</v>
      </c>
      <c r="N332" s="44">
        <v>711</v>
      </c>
      <c r="O332" s="113" t="s">
        <v>258</v>
      </c>
      <c r="P332" s="53">
        <v>661</v>
      </c>
      <c r="Q332" s="113" t="s">
        <v>258</v>
      </c>
      <c r="R332" s="44">
        <v>609</v>
      </c>
      <c r="S332" s="44">
        <v>609</v>
      </c>
      <c r="T332" s="50">
        <v>1.1000000000000001</v>
      </c>
      <c r="U332" s="44">
        <v>-606.79999999999995</v>
      </c>
      <c r="V332" s="15">
        <f t="shared" si="89"/>
        <v>919.82095823520024</v>
      </c>
      <c r="W332" s="260">
        <f t="shared" si="90"/>
        <v>919.82095823520024</v>
      </c>
      <c r="X332" s="132">
        <f>1180*106.5%</f>
        <v>1256.7</v>
      </c>
    </row>
    <row r="333" spans="1:24" ht="15" customHeight="1" x14ac:dyDescent="0.25">
      <c r="A333" s="388"/>
      <c r="B333" s="36" t="s">
        <v>798</v>
      </c>
      <c r="C333" s="47"/>
      <c r="D333" s="47"/>
      <c r="E333" s="47"/>
      <c r="F333" s="47"/>
      <c r="G333" s="44"/>
      <c r="H333" s="53">
        <f t="shared" si="87"/>
        <v>131.68800000000002</v>
      </c>
      <c r="I333" s="70">
        <v>1.0620000000000001</v>
      </c>
      <c r="J333" s="44">
        <v>124</v>
      </c>
      <c r="K333" s="70"/>
      <c r="L333" s="44"/>
      <c r="M333" s="47"/>
      <c r="N333" s="44"/>
      <c r="O333" s="113"/>
      <c r="P333" s="53"/>
      <c r="Q333" s="113"/>
      <c r="R333" s="44"/>
      <c r="S333" s="44"/>
      <c r="T333" s="50"/>
      <c r="U333" s="44"/>
      <c r="V333" s="15">
        <f t="shared" si="89"/>
        <v>140.90616000000003</v>
      </c>
      <c r="W333" s="260">
        <f t="shared" si="90"/>
        <v>140.90616000000003</v>
      </c>
      <c r="X333" s="132">
        <f>181*106.5%</f>
        <v>192.76499999999999</v>
      </c>
    </row>
    <row r="334" spans="1:24" ht="15" customHeight="1" x14ac:dyDescent="0.25">
      <c r="A334" s="128" t="s">
        <v>392</v>
      </c>
      <c r="B334" s="36" t="s">
        <v>848</v>
      </c>
      <c r="C334" s="47"/>
      <c r="D334" s="47"/>
      <c r="E334" s="47"/>
      <c r="F334" s="47"/>
      <c r="G334" s="44"/>
      <c r="H334" s="53"/>
      <c r="I334" s="70"/>
      <c r="J334" s="44"/>
      <c r="K334" s="70"/>
      <c r="L334" s="44"/>
      <c r="M334" s="47"/>
      <c r="N334" s="44"/>
      <c r="O334" s="113"/>
      <c r="P334" s="53"/>
      <c r="Q334" s="113"/>
      <c r="R334" s="44"/>
      <c r="S334" s="44"/>
      <c r="T334" s="50"/>
      <c r="U334" s="44"/>
      <c r="V334" s="15"/>
      <c r="W334" s="260">
        <v>4049</v>
      </c>
      <c r="X334" s="132">
        <f>5192*106.5%</f>
        <v>5529.48</v>
      </c>
    </row>
    <row r="335" spans="1:24" ht="30.95" customHeight="1" x14ac:dyDescent="0.2">
      <c r="A335" s="128" t="s">
        <v>393</v>
      </c>
      <c r="B335" s="36" t="s">
        <v>626</v>
      </c>
      <c r="C335" s="47">
        <v>19.180876819104004</v>
      </c>
      <c r="D335" s="47">
        <f>C335*1.0582</f>
        <v>20.297203849975858</v>
      </c>
      <c r="E335" s="47">
        <f t="shared" ref="E335:E342" si="93">ROUND(D335,0)</f>
        <v>20</v>
      </c>
      <c r="F335" s="47">
        <f t="shared" si="84"/>
        <v>21.840000000000003</v>
      </c>
      <c r="G335" s="44">
        <v>24</v>
      </c>
      <c r="H335" s="198">
        <f t="shared" si="87"/>
        <v>31.91933606400001</v>
      </c>
      <c r="I335" s="70">
        <v>1.0620000000000001</v>
      </c>
      <c r="J335" s="44">
        <f t="shared" si="91"/>
        <v>30.055872000000008</v>
      </c>
      <c r="K335" s="70">
        <v>1.0640000000000001</v>
      </c>
      <c r="L335" s="44">
        <f t="shared" si="92"/>
        <v>28.248000000000005</v>
      </c>
      <c r="M335" s="47">
        <v>1.07</v>
      </c>
      <c r="N335" s="44">
        <f>P335</f>
        <v>26.400000000000002</v>
      </c>
      <c r="O335" s="70" t="s">
        <v>260</v>
      </c>
      <c r="P335" s="44">
        <f t="shared" si="85"/>
        <v>26.400000000000002</v>
      </c>
      <c r="Q335" s="70" t="s">
        <v>260</v>
      </c>
      <c r="R335" s="44">
        <f t="shared" ref="R335:R345" si="94">S335</f>
        <v>26.400000000000002</v>
      </c>
      <c r="S335" s="44">
        <f t="shared" si="88"/>
        <v>26.400000000000002</v>
      </c>
      <c r="T335" s="50">
        <v>1.1000000000000001</v>
      </c>
      <c r="U335" s="44">
        <f t="shared" si="88"/>
        <v>36.271218342965774</v>
      </c>
      <c r="V335" s="203">
        <f t="shared" si="89"/>
        <v>34.153689588480013</v>
      </c>
      <c r="W335" s="266">
        <f t="shared" si="90"/>
        <v>34.153689588480013</v>
      </c>
      <c r="X335" s="132">
        <f>44*106.5%</f>
        <v>46.86</v>
      </c>
    </row>
    <row r="336" spans="1:24" ht="27.95" customHeight="1" x14ac:dyDescent="0.2">
      <c r="A336" s="128" t="s">
        <v>394</v>
      </c>
      <c r="B336" s="36" t="s">
        <v>635</v>
      </c>
      <c r="C336" s="46">
        <v>67.5</v>
      </c>
      <c r="D336" s="47">
        <v>71.4285</v>
      </c>
      <c r="E336" s="47">
        <f t="shared" si="93"/>
        <v>71</v>
      </c>
      <c r="F336" s="47">
        <f t="shared" si="84"/>
        <v>77.532000000000011</v>
      </c>
      <c r="G336" s="44">
        <v>86</v>
      </c>
      <c r="H336" s="198">
        <f t="shared" si="87"/>
        <v>114.37762089600002</v>
      </c>
      <c r="I336" s="70">
        <v>1.0620000000000001</v>
      </c>
      <c r="J336" s="44">
        <f t="shared" si="91"/>
        <v>107.70020800000002</v>
      </c>
      <c r="K336" s="70">
        <v>1.0640000000000001</v>
      </c>
      <c r="L336" s="44">
        <f t="shared" si="92"/>
        <v>101.22200000000001</v>
      </c>
      <c r="M336" s="47">
        <v>1.07</v>
      </c>
      <c r="N336" s="44">
        <f t="shared" ref="N336:N365" si="95">P336</f>
        <v>94.600000000000009</v>
      </c>
      <c r="O336" s="70" t="s">
        <v>260</v>
      </c>
      <c r="P336" s="44">
        <f t="shared" si="85"/>
        <v>94.600000000000009</v>
      </c>
      <c r="Q336" s="70" t="s">
        <v>260</v>
      </c>
      <c r="R336" s="44">
        <f t="shared" si="94"/>
        <v>94.600000000000009</v>
      </c>
      <c r="S336" s="44">
        <f t="shared" si="88"/>
        <v>94.600000000000009</v>
      </c>
      <c r="T336" s="50">
        <v>1.1000000000000001</v>
      </c>
      <c r="U336" s="44">
        <f t="shared" si="88"/>
        <v>129.97186572896069</v>
      </c>
      <c r="V336" s="203">
        <f t="shared" si="89"/>
        <v>122.38405435872004</v>
      </c>
      <c r="W336" s="266">
        <f t="shared" si="90"/>
        <v>122.38405435872004</v>
      </c>
      <c r="X336" s="132">
        <f>157*106.5%</f>
        <v>167.20499999999998</v>
      </c>
    </row>
    <row r="337" spans="1:24" x14ac:dyDescent="0.25">
      <c r="A337" s="128" t="s">
        <v>395</v>
      </c>
      <c r="B337" s="36" t="s">
        <v>627</v>
      </c>
      <c r="C337" s="47">
        <v>76.034812692384023</v>
      </c>
      <c r="D337" s="47">
        <f>C337*1.0582</f>
        <v>80.460038791080777</v>
      </c>
      <c r="E337" s="47">
        <f t="shared" si="93"/>
        <v>80</v>
      </c>
      <c r="F337" s="47">
        <f t="shared" si="84"/>
        <v>87.360000000000014</v>
      </c>
      <c r="G337" s="44">
        <v>96</v>
      </c>
      <c r="H337" s="53">
        <f t="shared" si="87"/>
        <v>127.67734425600004</v>
      </c>
      <c r="I337" s="70">
        <v>1.0620000000000001</v>
      </c>
      <c r="J337" s="44">
        <f>K337*L337</f>
        <v>120.22348800000003</v>
      </c>
      <c r="K337" s="70">
        <v>1.0640000000000001</v>
      </c>
      <c r="L337" s="44">
        <f t="shared" si="92"/>
        <v>112.99200000000002</v>
      </c>
      <c r="M337" s="47">
        <v>1.07</v>
      </c>
      <c r="N337" s="44">
        <f t="shared" si="95"/>
        <v>105.60000000000001</v>
      </c>
      <c r="O337" s="70" t="s">
        <v>260</v>
      </c>
      <c r="P337" s="44">
        <f t="shared" si="85"/>
        <v>105.60000000000001</v>
      </c>
      <c r="Q337" s="70" t="s">
        <v>260</v>
      </c>
      <c r="R337" s="44">
        <f t="shared" si="94"/>
        <v>105.60000000000001</v>
      </c>
      <c r="S337" s="44">
        <f t="shared" si="88"/>
        <v>105.60000000000001</v>
      </c>
      <c r="T337" s="50">
        <v>1.1000000000000001</v>
      </c>
      <c r="U337" s="44">
        <f t="shared" si="88"/>
        <v>145.0848733718631</v>
      </c>
      <c r="V337" s="15">
        <f t="shared" si="89"/>
        <v>136.61475835392005</v>
      </c>
      <c r="W337" s="260">
        <f t="shared" si="90"/>
        <v>136.61475835392005</v>
      </c>
      <c r="X337" s="132">
        <f>175*106.5%</f>
        <v>186.375</v>
      </c>
    </row>
    <row r="338" spans="1:24" x14ac:dyDescent="0.25">
      <c r="A338" s="128" t="s">
        <v>396</v>
      </c>
      <c r="B338" s="36" t="s">
        <v>634</v>
      </c>
      <c r="C338" s="47">
        <v>102.70341147830403</v>
      </c>
      <c r="D338" s="47">
        <f>C338*1.0582</f>
        <v>108.68075002634133</v>
      </c>
      <c r="E338" s="47">
        <f t="shared" si="93"/>
        <v>109</v>
      </c>
      <c r="F338" s="47">
        <f t="shared" si="84"/>
        <v>119.02800000000001</v>
      </c>
      <c r="G338" s="44">
        <v>131</v>
      </c>
      <c r="H338" s="53">
        <f t="shared" si="87"/>
        <v>174.22637601600007</v>
      </c>
      <c r="I338" s="70">
        <v>1.0620000000000001</v>
      </c>
      <c r="J338" s="44">
        <f t="shared" si="91"/>
        <v>164.05496800000006</v>
      </c>
      <c r="K338" s="70">
        <v>1.0640000000000001</v>
      </c>
      <c r="L338" s="44">
        <f t="shared" si="92"/>
        <v>154.18700000000004</v>
      </c>
      <c r="M338" s="47">
        <v>1.07</v>
      </c>
      <c r="N338" s="44">
        <f t="shared" si="95"/>
        <v>144.10000000000002</v>
      </c>
      <c r="O338" s="70" t="s">
        <v>260</v>
      </c>
      <c r="P338" s="44">
        <f t="shared" si="85"/>
        <v>144.10000000000002</v>
      </c>
      <c r="Q338" s="70" t="s">
        <v>260</v>
      </c>
      <c r="R338" s="44">
        <f t="shared" si="94"/>
        <v>144.10000000000002</v>
      </c>
      <c r="S338" s="44">
        <f t="shared" si="88"/>
        <v>144.10000000000002</v>
      </c>
      <c r="T338" s="50">
        <v>1.1000000000000001</v>
      </c>
      <c r="U338" s="44">
        <f t="shared" si="88"/>
        <v>197.98040012202156</v>
      </c>
      <c r="V338" s="15">
        <f t="shared" si="89"/>
        <v>186.4222223371201</v>
      </c>
      <c r="W338" s="260">
        <f t="shared" si="90"/>
        <v>186.4222223371201</v>
      </c>
      <c r="X338" s="132">
        <f>238*106.5%</f>
        <v>253.47</v>
      </c>
    </row>
    <row r="339" spans="1:24" x14ac:dyDescent="0.25">
      <c r="A339" s="128" t="s">
        <v>397</v>
      </c>
      <c r="B339" s="36" t="s">
        <v>411</v>
      </c>
      <c r="C339" s="47">
        <v>867.31558359264022</v>
      </c>
      <c r="D339" s="47">
        <f>C339*1.0582</f>
        <v>917.79335055773186</v>
      </c>
      <c r="E339" s="47">
        <f t="shared" si="93"/>
        <v>918</v>
      </c>
      <c r="F339" s="47">
        <f t="shared" si="84"/>
        <v>1002.4560000000001</v>
      </c>
      <c r="G339" s="44">
        <v>1102</v>
      </c>
      <c r="H339" s="53">
        <f t="shared" si="87"/>
        <v>1465.6295142720003</v>
      </c>
      <c r="I339" s="70">
        <v>1.0620000000000001</v>
      </c>
      <c r="J339" s="44">
        <f t="shared" si="91"/>
        <v>1380.0654560000003</v>
      </c>
      <c r="K339" s="70">
        <v>1.0640000000000001</v>
      </c>
      <c r="L339" s="44">
        <f t="shared" si="92"/>
        <v>1297.0540000000001</v>
      </c>
      <c r="M339" s="47">
        <v>1.07</v>
      </c>
      <c r="N339" s="44">
        <f t="shared" si="95"/>
        <v>1212.2</v>
      </c>
      <c r="O339" s="70" t="s">
        <v>260</v>
      </c>
      <c r="P339" s="44">
        <f t="shared" si="85"/>
        <v>1212.2</v>
      </c>
      <c r="Q339" s="70" t="s">
        <v>260</v>
      </c>
      <c r="R339" s="44">
        <f t="shared" si="94"/>
        <v>1212.2</v>
      </c>
      <c r="S339" s="44">
        <f t="shared" si="88"/>
        <v>1212.2</v>
      </c>
      <c r="T339" s="50">
        <v>1.1000000000000001</v>
      </c>
      <c r="U339" s="44">
        <f t="shared" si="88"/>
        <v>1665.453442247845</v>
      </c>
      <c r="V339" s="15">
        <f t="shared" si="89"/>
        <v>1568.2235802710404</v>
      </c>
      <c r="W339" s="260">
        <f t="shared" si="90"/>
        <v>1568.2235802710404</v>
      </c>
      <c r="X339" s="132">
        <f>2009*106.5%</f>
        <v>2139.585</v>
      </c>
    </row>
    <row r="340" spans="1:24" x14ac:dyDescent="0.25">
      <c r="A340" s="128" t="s">
        <v>398</v>
      </c>
      <c r="B340" s="36" t="s">
        <v>113</v>
      </c>
      <c r="C340" s="47">
        <v>352.11342243168014</v>
      </c>
      <c r="D340" s="47">
        <f>C340*1.0582</f>
        <v>372.60642361720392</v>
      </c>
      <c r="E340" s="47">
        <f t="shared" si="93"/>
        <v>373</v>
      </c>
      <c r="F340" s="47">
        <f t="shared" si="84"/>
        <v>407.31600000000003</v>
      </c>
      <c r="G340" s="44">
        <v>448</v>
      </c>
      <c r="H340" s="53">
        <f t="shared" si="87"/>
        <v>595.82760652800005</v>
      </c>
      <c r="I340" s="70">
        <v>1.0620000000000001</v>
      </c>
      <c r="J340" s="44">
        <f t="shared" si="91"/>
        <v>561.04294400000003</v>
      </c>
      <c r="K340" s="70">
        <v>1.0640000000000001</v>
      </c>
      <c r="L340" s="44">
        <f t="shared" si="92"/>
        <v>527.29600000000005</v>
      </c>
      <c r="M340" s="47">
        <v>1.07</v>
      </c>
      <c r="N340" s="44">
        <f t="shared" si="95"/>
        <v>492.80000000000007</v>
      </c>
      <c r="O340" s="70" t="s">
        <v>260</v>
      </c>
      <c r="P340" s="44">
        <f t="shared" si="85"/>
        <v>492.80000000000007</v>
      </c>
      <c r="Q340" s="70" t="s">
        <v>260</v>
      </c>
      <c r="R340" s="44">
        <f t="shared" si="94"/>
        <v>492.80000000000007</v>
      </c>
      <c r="S340" s="44">
        <f t="shared" si="88"/>
        <v>492.80000000000007</v>
      </c>
      <c r="T340" s="50">
        <v>1.1000000000000001</v>
      </c>
      <c r="U340" s="44">
        <f t="shared" si="88"/>
        <v>677.06274240202765</v>
      </c>
      <c r="V340" s="15">
        <f t="shared" si="89"/>
        <v>637.53553898496011</v>
      </c>
      <c r="W340" s="260">
        <f t="shared" si="90"/>
        <v>637.53553898496011</v>
      </c>
      <c r="X340" s="132">
        <f>818*106.5%</f>
        <v>871.17</v>
      </c>
    </row>
    <row r="341" spans="1:24" ht="30" x14ac:dyDescent="0.25">
      <c r="A341" s="128" t="s">
        <v>399</v>
      </c>
      <c r="B341" s="36" t="s">
        <v>724</v>
      </c>
      <c r="C341" s="47">
        <v>376.29099825408002</v>
      </c>
      <c r="D341" s="47">
        <f>C341*1.0582</f>
        <v>398.19113435246749</v>
      </c>
      <c r="E341" s="47">
        <f t="shared" si="93"/>
        <v>398</v>
      </c>
      <c r="F341" s="47">
        <f t="shared" si="84"/>
        <v>434.61600000000004</v>
      </c>
      <c r="G341" s="44">
        <v>480</v>
      </c>
      <c r="H341" s="53">
        <f t="shared" si="87"/>
        <v>638.38672128000019</v>
      </c>
      <c r="I341" s="70">
        <v>1.0620000000000001</v>
      </c>
      <c r="J341" s="44">
        <f t="shared" si="91"/>
        <v>601.1174400000001</v>
      </c>
      <c r="K341" s="70">
        <v>1.0640000000000001</v>
      </c>
      <c r="L341" s="44">
        <f t="shared" si="92"/>
        <v>564.96</v>
      </c>
      <c r="M341" s="47">
        <v>1.07</v>
      </c>
      <c r="N341" s="44">
        <f t="shared" si="95"/>
        <v>528</v>
      </c>
      <c r="O341" s="70" t="s">
        <v>260</v>
      </c>
      <c r="P341" s="44">
        <f t="shared" si="85"/>
        <v>528</v>
      </c>
      <c r="Q341" s="70" t="s">
        <v>260</v>
      </c>
      <c r="R341" s="44">
        <f t="shared" si="94"/>
        <v>528</v>
      </c>
      <c r="S341" s="44">
        <f t="shared" si="88"/>
        <v>528</v>
      </c>
      <c r="T341" s="50">
        <v>1.1000000000000001</v>
      </c>
      <c r="U341" s="44">
        <f t="shared" si="88"/>
        <v>725.42436685931546</v>
      </c>
      <c r="V341" s="15">
        <f t="shared" si="89"/>
        <v>683.07379176960023</v>
      </c>
      <c r="W341" s="260">
        <f t="shared" si="90"/>
        <v>683.07379176960023</v>
      </c>
      <c r="X341" s="132">
        <f>876*106.5%</f>
        <v>932.93999999999994</v>
      </c>
    </row>
    <row r="342" spans="1:24" x14ac:dyDescent="0.25">
      <c r="A342" s="128" t="s">
        <v>400</v>
      </c>
      <c r="B342" s="289" t="s">
        <v>650</v>
      </c>
      <c r="C342" s="40">
        <v>529</v>
      </c>
      <c r="D342" s="47">
        <v>559.79</v>
      </c>
      <c r="E342" s="47">
        <f t="shared" si="93"/>
        <v>560</v>
      </c>
      <c r="F342" s="47">
        <f t="shared" si="84"/>
        <v>611.5200000000001</v>
      </c>
      <c r="G342" s="44">
        <v>673</v>
      </c>
      <c r="H342" s="53">
        <f t="shared" si="87"/>
        <v>895.07138212800021</v>
      </c>
      <c r="I342" s="70">
        <v>1.0620000000000001</v>
      </c>
      <c r="J342" s="44">
        <f t="shared" si="91"/>
        <v>842.8167440000002</v>
      </c>
      <c r="K342" s="70">
        <v>1.0640000000000001</v>
      </c>
      <c r="L342" s="44">
        <f t="shared" si="92"/>
        <v>792.12100000000009</v>
      </c>
      <c r="M342" s="47">
        <v>1.07</v>
      </c>
      <c r="N342" s="44">
        <f t="shared" si="95"/>
        <v>740.30000000000007</v>
      </c>
      <c r="O342" s="70" t="s">
        <v>260</v>
      </c>
      <c r="P342" s="44">
        <f t="shared" si="85"/>
        <v>740.30000000000007</v>
      </c>
      <c r="Q342" s="70" t="s">
        <v>260</v>
      </c>
      <c r="R342" s="44">
        <f t="shared" si="94"/>
        <v>740.30000000000007</v>
      </c>
      <c r="S342" s="44">
        <f t="shared" si="88"/>
        <v>740.30000000000007</v>
      </c>
      <c r="T342" s="50">
        <v>1.1000000000000001</v>
      </c>
      <c r="U342" s="44">
        <f t="shared" si="88"/>
        <v>1017.1054143673319</v>
      </c>
      <c r="V342" s="15">
        <f t="shared" si="89"/>
        <v>957.72637887696033</v>
      </c>
      <c r="W342" s="260">
        <f t="shared" si="90"/>
        <v>957.72637887696033</v>
      </c>
      <c r="X342" s="132">
        <f>1230*106.5%</f>
        <v>1309.95</v>
      </c>
    </row>
    <row r="343" spans="1:24" x14ac:dyDescent="0.25">
      <c r="A343" s="128" t="s">
        <v>401</v>
      </c>
      <c r="B343" s="289" t="s">
        <v>382</v>
      </c>
      <c r="C343" s="40"/>
      <c r="D343" s="47"/>
      <c r="E343" s="47"/>
      <c r="F343" s="47">
        <v>589</v>
      </c>
      <c r="G343" s="44">
        <v>648</v>
      </c>
      <c r="H343" s="53">
        <f t="shared" si="87"/>
        <v>861.82207372800019</v>
      </c>
      <c r="I343" s="70">
        <v>1.0620000000000001</v>
      </c>
      <c r="J343" s="44">
        <f t="shared" si="91"/>
        <v>811.50854400000014</v>
      </c>
      <c r="K343" s="70">
        <v>1.0640000000000001</v>
      </c>
      <c r="L343" s="44">
        <f t="shared" si="92"/>
        <v>762.69600000000014</v>
      </c>
      <c r="M343" s="47">
        <v>1.07</v>
      </c>
      <c r="N343" s="44">
        <f t="shared" si="95"/>
        <v>712.80000000000007</v>
      </c>
      <c r="O343" s="70" t="s">
        <v>260</v>
      </c>
      <c r="P343" s="44">
        <f t="shared" si="85"/>
        <v>712.80000000000007</v>
      </c>
      <c r="Q343" s="70" t="s">
        <v>260</v>
      </c>
      <c r="R343" s="44">
        <f t="shared" si="94"/>
        <v>712.80000000000007</v>
      </c>
      <c r="S343" s="44">
        <f t="shared" si="88"/>
        <v>712.80000000000007</v>
      </c>
      <c r="T343" s="50">
        <v>1.1000000000000001</v>
      </c>
      <c r="U343" s="44">
        <f t="shared" si="88"/>
        <v>979.32289526007582</v>
      </c>
      <c r="V343" s="15">
        <f t="shared" si="89"/>
        <v>922.14961888896028</v>
      </c>
      <c r="W343" s="260">
        <f t="shared" si="90"/>
        <v>922.14961888896028</v>
      </c>
      <c r="X343" s="132">
        <f>1182*106.5%</f>
        <v>1258.83</v>
      </c>
    </row>
    <row r="344" spans="1:24" x14ac:dyDescent="0.25">
      <c r="A344" s="128" t="s">
        <v>402</v>
      </c>
      <c r="B344" s="289" t="s">
        <v>378</v>
      </c>
      <c r="C344" s="40">
        <v>44.1</v>
      </c>
      <c r="D344" s="47">
        <f>C344*1.0582</f>
        <v>46.666620000000002</v>
      </c>
      <c r="E344" s="47">
        <f>ROUND(D344,0)</f>
        <v>47</v>
      </c>
      <c r="F344" s="47">
        <f t="shared" si="84"/>
        <v>51.324000000000005</v>
      </c>
      <c r="G344" s="44">
        <v>56</v>
      </c>
      <c r="H344" s="53">
        <f t="shared" si="87"/>
        <v>74.478450816000006</v>
      </c>
      <c r="I344" s="70">
        <v>1.0620000000000001</v>
      </c>
      <c r="J344" s="44">
        <f t="shared" si="91"/>
        <v>70.130368000000004</v>
      </c>
      <c r="K344" s="70">
        <v>1.0640000000000001</v>
      </c>
      <c r="L344" s="44">
        <f t="shared" si="92"/>
        <v>65.912000000000006</v>
      </c>
      <c r="M344" s="47">
        <v>1.07</v>
      </c>
      <c r="N344" s="44">
        <f t="shared" si="95"/>
        <v>61.600000000000009</v>
      </c>
      <c r="O344" s="70" t="s">
        <v>260</v>
      </c>
      <c r="P344" s="44">
        <f t="shared" si="85"/>
        <v>61.600000000000009</v>
      </c>
      <c r="Q344" s="70" t="s">
        <v>260</v>
      </c>
      <c r="R344" s="44">
        <f t="shared" si="94"/>
        <v>61.600000000000009</v>
      </c>
      <c r="S344" s="44">
        <f t="shared" si="88"/>
        <v>61.600000000000009</v>
      </c>
      <c r="T344" s="50">
        <v>1.1000000000000001</v>
      </c>
      <c r="U344" s="44">
        <f t="shared" si="88"/>
        <v>84.632842800253457</v>
      </c>
      <c r="V344" s="15">
        <f t="shared" si="89"/>
        <v>79.691942373120014</v>
      </c>
      <c r="W344" s="260">
        <f t="shared" si="90"/>
        <v>79.691942373120014</v>
      </c>
      <c r="X344" s="132">
        <f>102*106.5%</f>
        <v>108.63</v>
      </c>
    </row>
    <row r="345" spans="1:24" x14ac:dyDescent="0.25">
      <c r="A345" s="128" t="s">
        <v>403</v>
      </c>
      <c r="B345" s="36" t="s">
        <v>414</v>
      </c>
      <c r="C345" s="47">
        <v>3484.0619413891204</v>
      </c>
      <c r="D345" s="47">
        <f>C345*1.0582</f>
        <v>3686.8343463779674</v>
      </c>
      <c r="E345" s="47">
        <f>ROUND(D345,0)</f>
        <v>3687</v>
      </c>
      <c r="F345" s="47">
        <f t="shared" si="84"/>
        <v>4026.2040000000002</v>
      </c>
      <c r="G345" s="44">
        <v>4430</v>
      </c>
      <c r="H345" s="53">
        <f t="shared" si="87"/>
        <v>5891.7774484800011</v>
      </c>
      <c r="I345" s="70">
        <v>1.0620000000000001</v>
      </c>
      <c r="J345" s="44">
        <f t="shared" si="91"/>
        <v>5547.8130400000009</v>
      </c>
      <c r="K345" s="70">
        <v>1.0640000000000001</v>
      </c>
      <c r="L345" s="44">
        <f t="shared" si="92"/>
        <v>5214.1100000000006</v>
      </c>
      <c r="M345" s="47">
        <v>1.07</v>
      </c>
      <c r="N345" s="44">
        <f t="shared" si="95"/>
        <v>4873</v>
      </c>
      <c r="O345" s="70" t="s">
        <v>260</v>
      </c>
      <c r="P345" s="44">
        <f t="shared" si="85"/>
        <v>4873</v>
      </c>
      <c r="Q345" s="70" t="s">
        <v>260</v>
      </c>
      <c r="R345" s="44">
        <f t="shared" si="94"/>
        <v>4873</v>
      </c>
      <c r="S345" s="44">
        <f t="shared" si="88"/>
        <v>4873</v>
      </c>
      <c r="T345" s="50">
        <v>1.1000000000000001</v>
      </c>
      <c r="U345" s="44">
        <f t="shared" si="88"/>
        <v>6695.0623858057652</v>
      </c>
      <c r="V345" s="15">
        <f t="shared" si="89"/>
        <v>6304.2018698736019</v>
      </c>
      <c r="W345" s="260">
        <f t="shared" si="90"/>
        <v>6304.2018698736019</v>
      </c>
      <c r="X345" s="132">
        <f>8084*106.5%</f>
        <v>8609.4599999999991</v>
      </c>
    </row>
    <row r="346" spans="1:24" s="18" customFormat="1" x14ac:dyDescent="0.25">
      <c r="A346" s="367" t="s">
        <v>404</v>
      </c>
      <c r="B346" s="356" t="s">
        <v>114</v>
      </c>
      <c r="C346" s="357"/>
      <c r="D346" s="357"/>
      <c r="E346" s="357"/>
      <c r="F346" s="357"/>
      <c r="G346" s="357"/>
      <c r="H346" s="357"/>
      <c r="I346" s="357"/>
      <c r="J346" s="358"/>
      <c r="K346" s="70"/>
      <c r="L346" s="44">
        <f t="shared" si="92"/>
        <v>0</v>
      </c>
      <c r="M346" s="47">
        <v>1.07</v>
      </c>
      <c r="N346" s="44">
        <f t="shared" si="95"/>
        <v>0</v>
      </c>
      <c r="O346" s="70"/>
      <c r="P346" s="44"/>
      <c r="Q346" s="70"/>
      <c r="R346" s="44"/>
      <c r="S346" s="44"/>
      <c r="T346" s="45"/>
      <c r="U346" s="44"/>
      <c r="V346" s="15"/>
      <c r="X346" s="132"/>
    </row>
    <row r="347" spans="1:24" s="18" customFormat="1" x14ac:dyDescent="0.25">
      <c r="A347" s="367"/>
      <c r="B347" s="104" t="s">
        <v>141</v>
      </c>
      <c r="C347" s="47">
        <v>3219.5739149683209</v>
      </c>
      <c r="D347" s="47">
        <f>C347*1.0582</f>
        <v>3406.9531168194771</v>
      </c>
      <c r="E347" s="47">
        <f>ROUND(D347,0)</f>
        <v>3407</v>
      </c>
      <c r="F347" s="47">
        <f>E347*1.092</f>
        <v>3720.4440000000004</v>
      </c>
      <c r="G347" s="44">
        <v>4092</v>
      </c>
      <c r="H347" s="53">
        <f>J347*I347</f>
        <v>5442.2467989120023</v>
      </c>
      <c r="I347" s="70">
        <v>1.0620000000000001</v>
      </c>
      <c r="J347" s="44">
        <f t="shared" si="91"/>
        <v>5124.5261760000021</v>
      </c>
      <c r="K347" s="70">
        <v>1.0640000000000001</v>
      </c>
      <c r="L347" s="44">
        <f t="shared" si="92"/>
        <v>4816.2840000000015</v>
      </c>
      <c r="M347" s="47">
        <v>1.07</v>
      </c>
      <c r="N347" s="44">
        <f t="shared" si="95"/>
        <v>4501.2000000000007</v>
      </c>
      <c r="O347" s="70" t="s">
        <v>260</v>
      </c>
      <c r="P347" s="44">
        <f t="shared" si="85"/>
        <v>4501.2000000000007</v>
      </c>
      <c r="Q347" s="70" t="s">
        <v>260</v>
      </c>
      <c r="R347" s="44">
        <f>S347</f>
        <v>4501.2000000000007</v>
      </c>
      <c r="S347" s="44">
        <f>G347*T347</f>
        <v>4501.2000000000007</v>
      </c>
      <c r="T347" s="50">
        <v>1.1000000000000001</v>
      </c>
      <c r="U347" s="44">
        <f>I347*V347</f>
        <v>6184.2427274756656</v>
      </c>
      <c r="V347" s="15">
        <f t="shared" ref="V347:V358" si="96">H347*107%</f>
        <v>5823.2040748358431</v>
      </c>
      <c r="W347" s="260">
        <f t="shared" ref="W347:W358" si="97">V347</f>
        <v>5823.2040748358431</v>
      </c>
      <c r="X347" s="132">
        <f>7466*106.5%</f>
        <v>7951.29</v>
      </c>
    </row>
    <row r="348" spans="1:24" s="18" customFormat="1" ht="30" x14ac:dyDescent="0.25">
      <c r="A348" s="367"/>
      <c r="B348" s="104" t="s">
        <v>142</v>
      </c>
      <c r="C348" s="47"/>
      <c r="D348" s="47"/>
      <c r="E348" s="47"/>
      <c r="F348" s="47"/>
      <c r="G348" s="44">
        <v>3744</v>
      </c>
      <c r="H348" s="53">
        <f>J348*I348</f>
        <v>4979.4164259840018</v>
      </c>
      <c r="I348" s="70">
        <v>1.0620000000000001</v>
      </c>
      <c r="J348" s="44">
        <f t="shared" si="91"/>
        <v>4688.7160320000012</v>
      </c>
      <c r="K348" s="70">
        <v>1.0640000000000001</v>
      </c>
      <c r="L348" s="44">
        <f t="shared" si="92"/>
        <v>4406.688000000001</v>
      </c>
      <c r="M348" s="47">
        <v>1.07</v>
      </c>
      <c r="N348" s="44">
        <f t="shared" si="95"/>
        <v>4118.4000000000005</v>
      </c>
      <c r="O348" s="70" t="s">
        <v>260</v>
      </c>
      <c r="P348" s="44">
        <f t="shared" si="85"/>
        <v>4118.4000000000005</v>
      </c>
      <c r="Q348" s="70" t="s">
        <v>260</v>
      </c>
      <c r="R348" s="44">
        <f>S348</f>
        <v>4118.4000000000005</v>
      </c>
      <c r="S348" s="44">
        <f>G348*T348</f>
        <v>4118.4000000000005</v>
      </c>
      <c r="T348" s="50">
        <v>1.1000000000000001</v>
      </c>
      <c r="U348" s="44">
        <f>I348*V348</f>
        <v>5658.3100615026615</v>
      </c>
      <c r="V348" s="15">
        <f t="shared" si="96"/>
        <v>5327.9755758028823</v>
      </c>
      <c r="W348" s="260">
        <f t="shared" si="97"/>
        <v>5327.9755758028823</v>
      </c>
      <c r="X348" s="132">
        <f>6831*106.5%</f>
        <v>7275.0149999999994</v>
      </c>
    </row>
    <row r="349" spans="1:24" s="18" customFormat="1" x14ac:dyDescent="0.25">
      <c r="A349" s="367"/>
      <c r="B349" s="33" t="s">
        <v>139</v>
      </c>
      <c r="C349" s="47"/>
      <c r="D349" s="47"/>
      <c r="E349" s="47"/>
      <c r="F349" s="47"/>
      <c r="G349" s="44">
        <v>1871</v>
      </c>
      <c r="H349" s="53">
        <f>J349*I349</f>
        <v>2488.3782406560008</v>
      </c>
      <c r="I349" s="70">
        <v>1.0620000000000001</v>
      </c>
      <c r="J349" s="44">
        <f t="shared" si="91"/>
        <v>2343.1056880000006</v>
      </c>
      <c r="K349" s="70">
        <v>1.0640000000000001</v>
      </c>
      <c r="L349" s="44">
        <f t="shared" si="92"/>
        <v>2202.1670000000004</v>
      </c>
      <c r="M349" s="47">
        <v>1.07</v>
      </c>
      <c r="N349" s="44">
        <f>P349</f>
        <v>2058.1000000000004</v>
      </c>
      <c r="O349" s="70" t="s">
        <v>260</v>
      </c>
      <c r="P349" s="44">
        <f t="shared" si="85"/>
        <v>2058.1000000000004</v>
      </c>
      <c r="Q349" s="70" t="s">
        <v>260</v>
      </c>
      <c r="R349" s="44">
        <f>S349</f>
        <v>2058.1000000000004</v>
      </c>
      <c r="S349" s="44">
        <f>G349*T349</f>
        <v>2058.1000000000004</v>
      </c>
      <c r="T349" s="50">
        <v>1.1000000000000001</v>
      </c>
      <c r="U349" s="44">
        <f>I349*V349</f>
        <v>2827.6437299870404</v>
      </c>
      <c r="V349" s="15">
        <f t="shared" si="96"/>
        <v>2662.5647175019212</v>
      </c>
      <c r="W349" s="260">
        <f t="shared" si="97"/>
        <v>2662.5647175019212</v>
      </c>
      <c r="X349" s="132">
        <f>3414*106.5%</f>
        <v>3635.91</v>
      </c>
    </row>
    <row r="350" spans="1:24" s="18" customFormat="1" x14ac:dyDescent="0.25">
      <c r="A350" s="367"/>
      <c r="B350" s="33" t="s">
        <v>140</v>
      </c>
      <c r="C350" s="47"/>
      <c r="D350" s="47"/>
      <c r="E350" s="47"/>
      <c r="F350" s="47"/>
      <c r="G350" s="44">
        <v>813</v>
      </c>
      <c r="H350" s="53">
        <f>J350*I350</f>
        <v>1081.2675091680003</v>
      </c>
      <c r="I350" s="70">
        <v>1.0620000000000001</v>
      </c>
      <c r="J350" s="44">
        <f t="shared" si="91"/>
        <v>1018.1426640000002</v>
      </c>
      <c r="K350" s="70">
        <v>1.0640000000000001</v>
      </c>
      <c r="L350" s="44">
        <f t="shared" si="92"/>
        <v>956.90100000000018</v>
      </c>
      <c r="M350" s="47">
        <v>1.07</v>
      </c>
      <c r="N350" s="44">
        <f t="shared" si="95"/>
        <v>894.30000000000007</v>
      </c>
      <c r="O350" s="70" t="s">
        <v>260</v>
      </c>
      <c r="P350" s="44">
        <f t="shared" si="85"/>
        <v>894.30000000000007</v>
      </c>
      <c r="Q350" s="70" t="s">
        <v>260</v>
      </c>
      <c r="R350" s="44">
        <f>S350</f>
        <v>894.30000000000007</v>
      </c>
      <c r="S350" s="44">
        <f>G350*T350</f>
        <v>894.30000000000007</v>
      </c>
      <c r="T350" s="50">
        <v>1.1000000000000001</v>
      </c>
      <c r="U350" s="44">
        <f>I350*V350</f>
        <v>1228.6875213679657</v>
      </c>
      <c r="V350" s="15">
        <f t="shared" si="96"/>
        <v>1156.9562348097604</v>
      </c>
      <c r="W350" s="260">
        <f t="shared" si="97"/>
        <v>1156.9562348097604</v>
      </c>
      <c r="X350" s="132">
        <f>1484*106.5%</f>
        <v>1580.4599999999998</v>
      </c>
    </row>
    <row r="351" spans="1:24" x14ac:dyDescent="0.25">
      <c r="A351" s="367" t="s">
        <v>405</v>
      </c>
      <c r="B351" s="356" t="s">
        <v>143</v>
      </c>
      <c r="C351" s="357"/>
      <c r="D351" s="357"/>
      <c r="E351" s="357"/>
      <c r="F351" s="357"/>
      <c r="G351" s="357"/>
      <c r="H351" s="357"/>
      <c r="I351" s="357"/>
      <c r="J351" s="358"/>
      <c r="K351" s="47"/>
      <c r="L351" s="44"/>
      <c r="M351" s="47"/>
      <c r="N351" s="44"/>
      <c r="O351" s="70"/>
      <c r="P351" s="44"/>
      <c r="Q351" s="70"/>
      <c r="R351" s="44"/>
      <c r="S351" s="44"/>
      <c r="T351" s="280"/>
      <c r="U351" s="44"/>
      <c r="V351" s="15"/>
      <c r="X351" s="132"/>
    </row>
    <row r="352" spans="1:24" x14ac:dyDescent="0.25">
      <c r="A352" s="367"/>
      <c r="B352" s="33" t="s">
        <v>144</v>
      </c>
      <c r="C352" s="47"/>
      <c r="D352" s="47"/>
      <c r="E352" s="47"/>
      <c r="F352" s="47"/>
      <c r="G352" s="44">
        <v>3853</v>
      </c>
      <c r="H352" s="53">
        <f>J352*I352</f>
        <v>5124.3834106080012</v>
      </c>
      <c r="I352" s="70">
        <v>1.0620000000000001</v>
      </c>
      <c r="J352" s="44">
        <f>K352*L352</f>
        <v>4825.2197840000008</v>
      </c>
      <c r="K352" s="70">
        <v>1.0640000000000001</v>
      </c>
      <c r="L352" s="44">
        <f>M352*N352</f>
        <v>4534.9810000000007</v>
      </c>
      <c r="M352" s="47">
        <v>1.07</v>
      </c>
      <c r="N352" s="44">
        <f t="shared" si="95"/>
        <v>4238.3</v>
      </c>
      <c r="O352" s="70" t="s">
        <v>260</v>
      </c>
      <c r="P352" s="44">
        <f t="shared" si="85"/>
        <v>4238.3</v>
      </c>
      <c r="Q352" s="70" t="s">
        <v>260</v>
      </c>
      <c r="R352" s="44">
        <f>S352</f>
        <v>4238.3</v>
      </c>
      <c r="S352" s="44">
        <f>G352*T352</f>
        <v>4238.3</v>
      </c>
      <c r="T352" s="50">
        <v>1.1000000000000001</v>
      </c>
      <c r="U352" s="44">
        <f>I352*V352</f>
        <v>5823.0418448102973</v>
      </c>
      <c r="V352" s="15">
        <f t="shared" si="96"/>
        <v>5483.0902493505619</v>
      </c>
      <c r="W352" s="260">
        <f t="shared" si="97"/>
        <v>5483.0902493505619</v>
      </c>
      <c r="X352" s="132">
        <f>7031*106.5%</f>
        <v>7488.0149999999994</v>
      </c>
    </row>
    <row r="353" spans="1:24" ht="15" customHeight="1" x14ac:dyDescent="0.25">
      <c r="A353" s="367" t="s">
        <v>406</v>
      </c>
      <c r="B353" s="356" t="s">
        <v>145</v>
      </c>
      <c r="C353" s="357"/>
      <c r="D353" s="357"/>
      <c r="E353" s="357"/>
      <c r="F353" s="357"/>
      <c r="G353" s="357"/>
      <c r="H353" s="357"/>
      <c r="I353" s="357"/>
      <c r="J353" s="358"/>
      <c r="K353" s="47"/>
      <c r="L353" s="44"/>
      <c r="M353" s="47"/>
      <c r="N353" s="44"/>
      <c r="O353" s="70"/>
      <c r="P353" s="44"/>
      <c r="Q353" s="70"/>
      <c r="R353" s="44"/>
      <c r="S353" s="44"/>
      <c r="T353" s="280"/>
      <c r="U353" s="44"/>
      <c r="V353" s="15"/>
      <c r="X353" s="132"/>
    </row>
    <row r="354" spans="1:24" ht="15" customHeight="1" x14ac:dyDescent="0.25">
      <c r="A354" s="355"/>
      <c r="B354" s="128" t="s">
        <v>146</v>
      </c>
      <c r="C354" s="284"/>
      <c r="D354" s="284"/>
      <c r="E354" s="284"/>
      <c r="F354" s="284"/>
      <c r="G354" s="44">
        <v>560</v>
      </c>
      <c r="H354" s="53">
        <f>J354*I354</f>
        <v>811.31702400000006</v>
      </c>
      <c r="I354" s="70">
        <v>1.0620000000000001</v>
      </c>
      <c r="J354" s="44">
        <f>L354*K354</f>
        <v>763.952</v>
      </c>
      <c r="K354" s="70">
        <v>1.0640000000000001</v>
      </c>
      <c r="L354" s="44">
        <v>718</v>
      </c>
      <c r="M354" s="47">
        <v>1.07</v>
      </c>
      <c r="N354" s="44">
        <f t="shared" si="95"/>
        <v>668</v>
      </c>
      <c r="O354" s="113" t="s">
        <v>258</v>
      </c>
      <c r="P354" s="53">
        <v>668</v>
      </c>
      <c r="Q354" s="113" t="s">
        <v>258</v>
      </c>
      <c r="R354" s="44">
        <v>668</v>
      </c>
      <c r="S354" s="44">
        <v>668</v>
      </c>
      <c r="T354" s="50">
        <v>1.1000000000000001</v>
      </c>
      <c r="U354" s="44">
        <v>-665.8</v>
      </c>
      <c r="V354" s="15">
        <f t="shared" si="96"/>
        <v>868.10921568000015</v>
      </c>
      <c r="W354" s="260">
        <f t="shared" si="97"/>
        <v>868.10921568000015</v>
      </c>
      <c r="X354" s="132">
        <f>1114*106.5%</f>
        <v>1186.4099999999999</v>
      </c>
    </row>
    <row r="355" spans="1:24" ht="14.1" customHeight="1" x14ac:dyDescent="0.25">
      <c r="A355" s="367" t="s">
        <v>407</v>
      </c>
      <c r="B355" s="375" t="s">
        <v>147</v>
      </c>
      <c r="C355" s="376"/>
      <c r="D355" s="376"/>
      <c r="E355" s="376"/>
      <c r="F355" s="376"/>
      <c r="G355" s="376"/>
      <c r="H355" s="376"/>
      <c r="I355" s="376"/>
      <c r="J355" s="377"/>
      <c r="K355" s="47"/>
      <c r="L355" s="44"/>
      <c r="M355" s="47"/>
      <c r="N355" s="44"/>
      <c r="O355" s="70"/>
      <c r="P355" s="44"/>
      <c r="Q355" s="70"/>
      <c r="R355" s="44"/>
      <c r="S355" s="44"/>
      <c r="T355" s="280"/>
      <c r="U355" s="44"/>
      <c r="V355" s="15"/>
      <c r="X355" s="132"/>
    </row>
    <row r="356" spans="1:24" ht="14.1" customHeight="1" x14ac:dyDescent="0.25">
      <c r="A356" s="355"/>
      <c r="B356" s="128" t="s">
        <v>148</v>
      </c>
      <c r="C356" s="284"/>
      <c r="D356" s="284"/>
      <c r="E356" s="284"/>
      <c r="F356" s="284"/>
      <c r="G356" s="44">
        <v>16148</v>
      </c>
      <c r="H356" s="53">
        <f>J356*I356</f>
        <v>21476.393281728007</v>
      </c>
      <c r="I356" s="70">
        <v>1.0620000000000001</v>
      </c>
      <c r="J356" s="44">
        <f>K356*L356</f>
        <v>20222.592544000006</v>
      </c>
      <c r="K356" s="70">
        <v>1.0640000000000001</v>
      </c>
      <c r="L356" s="44">
        <f>M356*N356</f>
        <v>19006.196000000004</v>
      </c>
      <c r="M356" s="47">
        <v>1.07</v>
      </c>
      <c r="N356" s="44">
        <f t="shared" si="95"/>
        <v>17762.800000000003</v>
      </c>
      <c r="O356" s="70" t="s">
        <v>260</v>
      </c>
      <c r="P356" s="44">
        <f t="shared" ref="P356:P365" si="98">SUM(R356)</f>
        <v>17762.800000000003</v>
      </c>
      <c r="Q356" s="70" t="s">
        <v>260</v>
      </c>
      <c r="R356" s="44">
        <f>S356</f>
        <v>17762.800000000003</v>
      </c>
      <c r="S356" s="44">
        <f>G356*T356</f>
        <v>17762.800000000003</v>
      </c>
      <c r="T356" s="50">
        <v>1.1000000000000001</v>
      </c>
      <c r="U356" s="44">
        <f>I356*V356</f>
        <v>24404.484741758806</v>
      </c>
      <c r="V356" s="15">
        <f t="shared" si="96"/>
        <v>22979.74081144897</v>
      </c>
      <c r="W356" s="260">
        <f t="shared" si="97"/>
        <v>22979.74081144897</v>
      </c>
      <c r="X356" s="132">
        <f>29468*106.5%</f>
        <v>31383.42</v>
      </c>
    </row>
    <row r="357" spans="1:24" ht="27.95" customHeight="1" x14ac:dyDescent="0.2">
      <c r="A357" s="355"/>
      <c r="B357" s="104" t="s">
        <v>151</v>
      </c>
      <c r="C357" s="40">
        <v>4879</v>
      </c>
      <c r="D357" s="47">
        <f>C357*1.0582</f>
        <v>5162.9578000000001</v>
      </c>
      <c r="E357" s="47">
        <f t="shared" ref="E357:E365" si="99">ROUND(D357,0)</f>
        <v>5163</v>
      </c>
      <c r="F357" s="47">
        <f>E357*1.092</f>
        <v>5637.9960000000001</v>
      </c>
      <c r="G357" s="44">
        <v>6202</v>
      </c>
      <c r="H357" s="198">
        <f>J357*I357</f>
        <v>8248.4884278720019</v>
      </c>
      <c r="I357" s="70">
        <v>1.0620000000000001</v>
      </c>
      <c r="J357" s="44">
        <f>K357*L357</f>
        <v>7766.9382560000013</v>
      </c>
      <c r="K357" s="70">
        <v>1.0640000000000001</v>
      </c>
      <c r="L357" s="44">
        <f>M357*N357</f>
        <v>7299.7540000000008</v>
      </c>
      <c r="M357" s="47">
        <v>1.07</v>
      </c>
      <c r="N357" s="44">
        <f t="shared" si="95"/>
        <v>6822.2000000000007</v>
      </c>
      <c r="O357" s="70" t="s">
        <v>260</v>
      </c>
      <c r="P357" s="44">
        <f t="shared" si="98"/>
        <v>6822.2000000000007</v>
      </c>
      <c r="Q357" s="70" t="s">
        <v>260</v>
      </c>
      <c r="R357" s="44">
        <f>S357</f>
        <v>6822.2000000000007</v>
      </c>
      <c r="S357" s="44">
        <f>G357*T357</f>
        <v>6822.2000000000007</v>
      </c>
      <c r="T357" s="50">
        <v>1.1000000000000001</v>
      </c>
      <c r="U357" s="44">
        <f>I357*V357</f>
        <v>9373.0873401280714</v>
      </c>
      <c r="V357" s="203">
        <f t="shared" si="96"/>
        <v>8825.8826178230429</v>
      </c>
      <c r="W357" s="266">
        <f t="shared" si="97"/>
        <v>8825.8826178230429</v>
      </c>
      <c r="X357" s="132">
        <f>11317*106.5%</f>
        <v>12052.605</v>
      </c>
    </row>
    <row r="358" spans="1:24" ht="27.95" customHeight="1" x14ac:dyDescent="0.2">
      <c r="A358" s="355"/>
      <c r="B358" s="104" t="s">
        <v>152</v>
      </c>
      <c r="C358" s="40">
        <v>2500</v>
      </c>
      <c r="D358" s="47">
        <f>C358*1.0582</f>
        <v>2645.5</v>
      </c>
      <c r="E358" s="47">
        <f t="shared" si="99"/>
        <v>2646</v>
      </c>
      <c r="F358" s="47">
        <f>E358*1.092</f>
        <v>2889.4320000000002</v>
      </c>
      <c r="G358" s="44">
        <v>3178</v>
      </c>
      <c r="H358" s="198">
        <f>J358*I358</f>
        <v>4226.6520838080005</v>
      </c>
      <c r="I358" s="70">
        <v>1.0620000000000001</v>
      </c>
      <c r="J358" s="44">
        <f>K358*L358</f>
        <v>3979.8983840000005</v>
      </c>
      <c r="K358" s="70">
        <v>1.0640000000000001</v>
      </c>
      <c r="L358" s="44">
        <f>M358*N358</f>
        <v>3740.5060000000003</v>
      </c>
      <c r="M358" s="47">
        <v>1.07</v>
      </c>
      <c r="N358" s="44">
        <f t="shared" si="95"/>
        <v>3495.8</v>
      </c>
      <c r="O358" s="70" t="s">
        <v>260</v>
      </c>
      <c r="P358" s="44">
        <f t="shared" si="98"/>
        <v>3495.8</v>
      </c>
      <c r="Q358" s="70" t="s">
        <v>260</v>
      </c>
      <c r="R358" s="44">
        <f>S358</f>
        <v>3495.8</v>
      </c>
      <c r="S358" s="44">
        <f>G358*T358</f>
        <v>3495.8</v>
      </c>
      <c r="T358" s="50">
        <v>1.1000000000000001</v>
      </c>
      <c r="U358" s="44">
        <f>I358*V358</f>
        <v>4802.9138289143839</v>
      </c>
      <c r="V358" s="203">
        <f t="shared" si="96"/>
        <v>4522.5177296745605</v>
      </c>
      <c r="W358" s="266">
        <f t="shared" si="97"/>
        <v>4522.5177296745605</v>
      </c>
      <c r="X358" s="132">
        <f>5800*106.5%</f>
        <v>6177</v>
      </c>
    </row>
    <row r="359" spans="1:24" ht="15" customHeight="1" x14ac:dyDescent="0.25">
      <c r="A359" s="367" t="s">
        <v>408</v>
      </c>
      <c r="B359" s="356" t="s">
        <v>686</v>
      </c>
      <c r="C359" s="357"/>
      <c r="D359" s="357"/>
      <c r="E359" s="357"/>
      <c r="F359" s="357"/>
      <c r="G359" s="357"/>
      <c r="H359" s="357"/>
      <c r="I359" s="357"/>
      <c r="J359" s="358"/>
      <c r="K359" s="47"/>
      <c r="L359" s="44"/>
      <c r="M359" s="47"/>
      <c r="N359" s="44"/>
      <c r="O359" s="70"/>
      <c r="P359" s="44"/>
      <c r="Q359" s="70"/>
      <c r="R359" s="44"/>
      <c r="S359" s="44"/>
      <c r="T359" s="50"/>
      <c r="U359" s="44"/>
      <c r="X359" s="132"/>
    </row>
    <row r="360" spans="1:24" ht="15" customHeight="1" x14ac:dyDescent="0.25">
      <c r="A360" s="355"/>
      <c r="B360" s="104" t="s">
        <v>628</v>
      </c>
      <c r="C360" s="40">
        <v>3956</v>
      </c>
      <c r="D360" s="47">
        <f t="shared" ref="D360:D365" si="100">C360*1.0582</f>
        <v>4186.2392</v>
      </c>
      <c r="E360" s="47">
        <f t="shared" si="99"/>
        <v>4186</v>
      </c>
      <c r="F360" s="47">
        <f t="shared" ref="F360:F365" si="101">E360*1.092</f>
        <v>4571.1120000000001</v>
      </c>
      <c r="G360" s="44">
        <v>5028</v>
      </c>
      <c r="H360" s="53">
        <f t="shared" ref="H360:H365" si="102">J360*I360</f>
        <v>6687.1009054080005</v>
      </c>
      <c r="I360" s="70">
        <v>1.0620000000000001</v>
      </c>
      <c r="J360" s="44">
        <f t="shared" ref="J360:J365" si="103">K360*L360</f>
        <v>6296.7051840000004</v>
      </c>
      <c r="K360" s="70">
        <v>1.0640000000000001</v>
      </c>
      <c r="L360" s="44">
        <f t="shared" ref="L360:L365" si="104">M360*N360</f>
        <v>5917.9560000000001</v>
      </c>
      <c r="M360" s="47">
        <v>1.07</v>
      </c>
      <c r="N360" s="44">
        <f t="shared" si="95"/>
        <v>5530.8</v>
      </c>
      <c r="O360" s="70" t="s">
        <v>260</v>
      </c>
      <c r="P360" s="44">
        <f t="shared" si="98"/>
        <v>5530.8</v>
      </c>
      <c r="Q360" s="70" t="s">
        <v>260</v>
      </c>
      <c r="R360" s="44">
        <f t="shared" ref="R360:R365" si="105">S360</f>
        <v>5530.8</v>
      </c>
      <c r="S360" s="44">
        <f t="shared" ref="S360:U365" si="106">G360*T360</f>
        <v>5530.8</v>
      </c>
      <c r="T360" s="50">
        <v>1.1000000000000001</v>
      </c>
      <c r="U360" s="44">
        <f t="shared" si="106"/>
        <v>7598.8202428513277</v>
      </c>
      <c r="V360" s="15">
        <f t="shared" ref="V360:V367" si="107">H360*107%</f>
        <v>7155.1979687865605</v>
      </c>
      <c r="W360" s="260">
        <f t="shared" ref="W360:W367" si="108">V360</f>
        <v>7155.1979687865605</v>
      </c>
      <c r="X360" s="132">
        <f>9176*106.5%</f>
        <v>9772.4399999999987</v>
      </c>
    </row>
    <row r="361" spans="1:24" ht="27.95" customHeight="1" x14ac:dyDescent="0.2">
      <c r="A361" s="355"/>
      <c r="B361" s="104" t="s">
        <v>849</v>
      </c>
      <c r="C361" s="40">
        <v>3619</v>
      </c>
      <c r="D361" s="47">
        <f t="shared" si="100"/>
        <v>3829.6258000000003</v>
      </c>
      <c r="E361" s="47">
        <f t="shared" si="99"/>
        <v>3830</v>
      </c>
      <c r="F361" s="47">
        <f t="shared" si="101"/>
        <v>4182.3600000000006</v>
      </c>
      <c r="G361" s="44">
        <v>4600</v>
      </c>
      <c r="H361" s="198">
        <f t="shared" si="102"/>
        <v>6117.8727456000015</v>
      </c>
      <c r="I361" s="70">
        <v>1.0620000000000001</v>
      </c>
      <c r="J361" s="44">
        <f t="shared" si="103"/>
        <v>5760.7088000000012</v>
      </c>
      <c r="K361" s="70">
        <v>1.0640000000000001</v>
      </c>
      <c r="L361" s="44">
        <f t="shared" si="104"/>
        <v>5414.2000000000007</v>
      </c>
      <c r="M361" s="47">
        <v>1.07</v>
      </c>
      <c r="N361" s="44">
        <f t="shared" si="95"/>
        <v>5060</v>
      </c>
      <c r="O361" s="70" t="s">
        <v>260</v>
      </c>
      <c r="P361" s="44">
        <f t="shared" si="98"/>
        <v>5060</v>
      </c>
      <c r="Q361" s="70" t="s">
        <v>260</v>
      </c>
      <c r="R361" s="44">
        <f t="shared" si="105"/>
        <v>5060</v>
      </c>
      <c r="S361" s="44">
        <f t="shared" si="106"/>
        <v>5060</v>
      </c>
      <c r="T361" s="50">
        <v>1.1000000000000001</v>
      </c>
      <c r="U361" s="44">
        <f t="shared" si="106"/>
        <v>6951.9835157351063</v>
      </c>
      <c r="V361" s="203">
        <f t="shared" si="107"/>
        <v>6546.1238377920017</v>
      </c>
      <c r="W361" s="266">
        <v>52640</v>
      </c>
      <c r="X361" s="132">
        <f>67502*106.5%</f>
        <v>71889.62999999999</v>
      </c>
    </row>
    <row r="362" spans="1:24" ht="29.25" customHeight="1" x14ac:dyDescent="0.25">
      <c r="A362" s="355"/>
      <c r="B362" s="104" t="s">
        <v>850</v>
      </c>
      <c r="C362" s="40">
        <v>3619</v>
      </c>
      <c r="D362" s="47">
        <f t="shared" si="100"/>
        <v>3829.6258000000003</v>
      </c>
      <c r="E362" s="47">
        <f t="shared" si="99"/>
        <v>3830</v>
      </c>
      <c r="F362" s="47">
        <f t="shared" si="101"/>
        <v>4182.3600000000006</v>
      </c>
      <c r="G362" s="44">
        <v>4600</v>
      </c>
      <c r="H362" s="198">
        <f t="shared" si="102"/>
        <v>6117.8727456000015</v>
      </c>
      <c r="I362" s="70">
        <v>1.0620000000000001</v>
      </c>
      <c r="J362" s="44">
        <f t="shared" si="103"/>
        <v>5760.7088000000012</v>
      </c>
      <c r="K362" s="70">
        <v>1.0640000000000001</v>
      </c>
      <c r="L362" s="44">
        <f t="shared" si="104"/>
        <v>5414.2000000000007</v>
      </c>
      <c r="M362" s="47">
        <v>1.07</v>
      </c>
      <c r="N362" s="44">
        <f t="shared" si="95"/>
        <v>5060</v>
      </c>
      <c r="O362" s="70" t="s">
        <v>260</v>
      </c>
      <c r="P362" s="44">
        <f t="shared" si="98"/>
        <v>5060</v>
      </c>
      <c r="Q362" s="70" t="s">
        <v>260</v>
      </c>
      <c r="R362" s="44">
        <f t="shared" si="105"/>
        <v>5060</v>
      </c>
      <c r="S362" s="44">
        <f t="shared" si="106"/>
        <v>5060</v>
      </c>
      <c r="T362" s="50">
        <v>1.1000000000000001</v>
      </c>
      <c r="U362" s="44">
        <f t="shared" si="106"/>
        <v>6951.9835157351063</v>
      </c>
      <c r="V362" s="15">
        <f t="shared" si="107"/>
        <v>6546.1238377920017</v>
      </c>
      <c r="W362" s="260">
        <v>52640</v>
      </c>
      <c r="X362" s="132">
        <f>67502*106.5%</f>
        <v>71889.62999999999</v>
      </c>
    </row>
    <row r="363" spans="1:24" ht="27.95" customHeight="1" x14ac:dyDescent="0.2">
      <c r="A363" s="355"/>
      <c r="B363" s="104" t="s">
        <v>851</v>
      </c>
      <c r="C363" s="40">
        <v>3619</v>
      </c>
      <c r="D363" s="47">
        <f t="shared" si="100"/>
        <v>3829.6258000000003</v>
      </c>
      <c r="E363" s="47">
        <f t="shared" si="99"/>
        <v>3830</v>
      </c>
      <c r="F363" s="47">
        <f t="shared" si="101"/>
        <v>4182.3600000000006</v>
      </c>
      <c r="G363" s="44">
        <v>4600</v>
      </c>
      <c r="H363" s="198">
        <f t="shared" si="102"/>
        <v>6117.8727456000015</v>
      </c>
      <c r="I363" s="70">
        <v>1.0620000000000001</v>
      </c>
      <c r="J363" s="44">
        <f t="shared" si="103"/>
        <v>5760.7088000000012</v>
      </c>
      <c r="K363" s="70">
        <v>1.0640000000000001</v>
      </c>
      <c r="L363" s="44">
        <f t="shared" si="104"/>
        <v>5414.2000000000007</v>
      </c>
      <c r="M363" s="47">
        <v>1.07</v>
      </c>
      <c r="N363" s="44">
        <f t="shared" si="95"/>
        <v>5060</v>
      </c>
      <c r="O363" s="70" t="s">
        <v>260</v>
      </c>
      <c r="P363" s="44">
        <f t="shared" si="98"/>
        <v>5060</v>
      </c>
      <c r="Q363" s="70" t="s">
        <v>260</v>
      </c>
      <c r="R363" s="44">
        <f t="shared" si="105"/>
        <v>5060</v>
      </c>
      <c r="S363" s="44">
        <f t="shared" si="106"/>
        <v>5060</v>
      </c>
      <c r="T363" s="50">
        <v>1.1000000000000001</v>
      </c>
      <c r="U363" s="44">
        <f t="shared" si="106"/>
        <v>6951.9835157351063</v>
      </c>
      <c r="V363" s="203">
        <f t="shared" si="107"/>
        <v>6546.1238377920017</v>
      </c>
      <c r="W363" s="266">
        <f t="shared" si="108"/>
        <v>6546.1238377920017</v>
      </c>
      <c r="X363" s="132">
        <f>8394*106.5%</f>
        <v>8939.6099999999988</v>
      </c>
    </row>
    <row r="364" spans="1:24" x14ac:dyDescent="0.25">
      <c r="A364" s="355"/>
      <c r="B364" s="104" t="s">
        <v>632</v>
      </c>
      <c r="C364" s="40">
        <v>5128</v>
      </c>
      <c r="D364" s="47">
        <f t="shared" si="100"/>
        <v>5426.4495999999999</v>
      </c>
      <c r="E364" s="47">
        <f t="shared" si="99"/>
        <v>5426</v>
      </c>
      <c r="F364" s="47">
        <f t="shared" si="101"/>
        <v>5925.192</v>
      </c>
      <c r="G364" s="44">
        <v>6518</v>
      </c>
      <c r="H364" s="53">
        <f t="shared" si="102"/>
        <v>8668.7596860480025</v>
      </c>
      <c r="I364" s="70">
        <v>1.0620000000000001</v>
      </c>
      <c r="J364" s="44">
        <f t="shared" si="103"/>
        <v>8162.6739040000011</v>
      </c>
      <c r="K364" s="70">
        <v>1.0640000000000001</v>
      </c>
      <c r="L364" s="44">
        <f t="shared" si="104"/>
        <v>7671.6860000000006</v>
      </c>
      <c r="M364" s="47">
        <v>1.07</v>
      </c>
      <c r="N364" s="44">
        <f t="shared" si="95"/>
        <v>7169.8</v>
      </c>
      <c r="O364" s="70" t="s">
        <v>260</v>
      </c>
      <c r="P364" s="44">
        <f t="shared" si="98"/>
        <v>7169.8</v>
      </c>
      <c r="Q364" s="70" t="s">
        <v>260</v>
      </c>
      <c r="R364" s="44">
        <f t="shared" si="105"/>
        <v>7169.8</v>
      </c>
      <c r="S364" s="44">
        <f t="shared" si="106"/>
        <v>7169.8</v>
      </c>
      <c r="T364" s="50">
        <v>1.1000000000000001</v>
      </c>
      <c r="U364" s="44">
        <f t="shared" si="106"/>
        <v>9850.6583816437887</v>
      </c>
      <c r="V364" s="15">
        <f t="shared" si="107"/>
        <v>9275.5728640713642</v>
      </c>
      <c r="W364" s="260">
        <f t="shared" si="108"/>
        <v>9275.5728640713642</v>
      </c>
      <c r="X364" s="132">
        <f>11894*106.5%</f>
        <v>12667.109999999999</v>
      </c>
    </row>
    <row r="365" spans="1:24" ht="15" customHeight="1" x14ac:dyDescent="0.25">
      <c r="A365" s="355"/>
      <c r="B365" s="104" t="s">
        <v>633</v>
      </c>
      <c r="C365" s="40">
        <v>3909</v>
      </c>
      <c r="D365" s="47">
        <f t="shared" si="100"/>
        <v>4136.5038000000004</v>
      </c>
      <c r="E365" s="47">
        <f t="shared" si="99"/>
        <v>4137</v>
      </c>
      <c r="F365" s="47">
        <f t="shared" si="101"/>
        <v>4517.6040000000003</v>
      </c>
      <c r="G365" s="44">
        <v>4970</v>
      </c>
      <c r="H365" s="53">
        <f t="shared" si="102"/>
        <v>6609.9625099200011</v>
      </c>
      <c r="I365" s="70">
        <v>1.0620000000000001</v>
      </c>
      <c r="J365" s="44">
        <f t="shared" si="103"/>
        <v>6224.0701600000011</v>
      </c>
      <c r="K365" s="70">
        <v>1.0640000000000001</v>
      </c>
      <c r="L365" s="44">
        <f t="shared" si="104"/>
        <v>5849.6900000000005</v>
      </c>
      <c r="M365" s="47">
        <v>1.07</v>
      </c>
      <c r="N365" s="44">
        <f t="shared" si="95"/>
        <v>5467</v>
      </c>
      <c r="O365" s="70" t="s">
        <v>260</v>
      </c>
      <c r="P365" s="44">
        <f t="shared" si="98"/>
        <v>5467</v>
      </c>
      <c r="Q365" s="70" t="s">
        <v>260</v>
      </c>
      <c r="R365" s="44">
        <f t="shared" si="105"/>
        <v>5467</v>
      </c>
      <c r="S365" s="44">
        <f t="shared" si="106"/>
        <v>5467</v>
      </c>
      <c r="T365" s="50">
        <v>1.1000000000000001</v>
      </c>
      <c r="U365" s="44">
        <f t="shared" si="106"/>
        <v>7511.1647985224954</v>
      </c>
      <c r="V365" s="15">
        <f t="shared" si="107"/>
        <v>7072.6598856144019</v>
      </c>
      <c r="W365" s="260">
        <f t="shared" si="108"/>
        <v>7072.6598856144019</v>
      </c>
      <c r="X365" s="132">
        <f>9069*106.5%</f>
        <v>9658.4849999999988</v>
      </c>
    </row>
    <row r="366" spans="1:24" ht="30.95" customHeight="1" x14ac:dyDescent="0.2">
      <c r="A366" s="128" t="s">
        <v>409</v>
      </c>
      <c r="B366" s="159" t="s">
        <v>828</v>
      </c>
      <c r="C366" s="160"/>
      <c r="D366" s="160"/>
      <c r="E366" s="160"/>
      <c r="F366" s="160"/>
      <c r="G366" s="160"/>
      <c r="H366" s="200">
        <v>5225</v>
      </c>
      <c r="I366" s="287"/>
      <c r="J366" s="288"/>
      <c r="K366" s="47"/>
      <c r="L366" s="44"/>
      <c r="M366" s="47"/>
      <c r="N366" s="44"/>
      <c r="O366" s="70"/>
      <c r="P366" s="44"/>
      <c r="Q366" s="70"/>
      <c r="R366" s="44"/>
      <c r="S366" s="85"/>
      <c r="T366" s="50"/>
      <c r="U366" s="85"/>
      <c r="V366" s="203">
        <f t="shared" si="107"/>
        <v>5590.75</v>
      </c>
      <c r="W366" s="266">
        <f t="shared" si="108"/>
        <v>5590.75</v>
      </c>
      <c r="X366" s="132">
        <f>7169*106.5%</f>
        <v>7634.9849999999997</v>
      </c>
    </row>
    <row r="367" spans="1:24" ht="32.25" customHeight="1" x14ac:dyDescent="0.2">
      <c r="A367" s="289" t="s">
        <v>799</v>
      </c>
      <c r="B367" s="161" t="s">
        <v>827</v>
      </c>
      <c r="C367" s="162"/>
      <c r="D367" s="162"/>
      <c r="E367" s="162"/>
      <c r="F367" s="162"/>
      <c r="G367" s="162"/>
      <c r="H367" s="201" t="s">
        <v>822</v>
      </c>
      <c r="I367" s="144"/>
      <c r="J367" s="104"/>
      <c r="K367" s="47"/>
      <c r="L367" s="44"/>
      <c r="M367" s="47"/>
      <c r="N367" s="44"/>
      <c r="O367" s="70"/>
      <c r="P367" s="44"/>
      <c r="Q367" s="70"/>
      <c r="R367" s="44"/>
      <c r="S367" s="85"/>
      <c r="T367" s="50"/>
      <c r="U367" s="85"/>
      <c r="V367" s="203">
        <f t="shared" si="107"/>
        <v>1605</v>
      </c>
      <c r="W367" s="266">
        <f t="shared" si="108"/>
        <v>1605</v>
      </c>
      <c r="X367" s="132">
        <f>2058*106.5%</f>
        <v>2191.77</v>
      </c>
    </row>
    <row r="368" spans="1:24" ht="15.95" customHeight="1" x14ac:dyDescent="0.25">
      <c r="A368" s="389" t="s">
        <v>551</v>
      </c>
      <c r="B368" s="390"/>
      <c r="C368" s="390"/>
      <c r="D368" s="390"/>
      <c r="E368" s="390"/>
      <c r="F368" s="390"/>
      <c r="G368" s="390"/>
      <c r="H368" s="390"/>
      <c r="I368" s="390"/>
      <c r="J368" s="391"/>
      <c r="K368" s="47"/>
      <c r="L368" s="44"/>
      <c r="M368" s="47"/>
      <c r="N368" s="44"/>
      <c r="O368" s="70"/>
      <c r="P368" s="44"/>
      <c r="Q368" s="70"/>
      <c r="R368" s="44"/>
      <c r="S368" s="44"/>
      <c r="T368" s="50"/>
      <c r="U368" s="44"/>
      <c r="V368" s="15"/>
      <c r="X368" s="85"/>
    </row>
    <row r="369" spans="1:24" x14ac:dyDescent="0.25">
      <c r="A369" s="381" t="s">
        <v>756</v>
      </c>
      <c r="B369" s="382"/>
      <c r="C369" s="382"/>
      <c r="D369" s="382"/>
      <c r="E369" s="382"/>
      <c r="F369" s="382"/>
      <c r="G369" s="382"/>
      <c r="H369" s="382"/>
      <c r="I369" s="382"/>
      <c r="J369" s="383"/>
      <c r="K369" s="47"/>
      <c r="L369" s="44"/>
      <c r="M369" s="47"/>
      <c r="N369" s="44"/>
      <c r="O369" s="70"/>
      <c r="P369" s="44"/>
      <c r="Q369" s="70"/>
      <c r="R369" s="44"/>
      <c r="S369" s="44"/>
      <c r="T369" s="50"/>
      <c r="U369" s="44"/>
      <c r="V369" s="15"/>
      <c r="X369" s="85"/>
    </row>
    <row r="370" spans="1:24" x14ac:dyDescent="0.25">
      <c r="A370" s="362" t="s">
        <v>301</v>
      </c>
      <c r="B370" s="356" t="s">
        <v>651</v>
      </c>
      <c r="C370" s="357"/>
      <c r="D370" s="357"/>
      <c r="E370" s="357"/>
      <c r="F370" s="357"/>
      <c r="G370" s="357"/>
      <c r="H370" s="357"/>
      <c r="I370" s="357"/>
      <c r="J370" s="358"/>
      <c r="K370" s="47"/>
      <c r="L370" s="44"/>
      <c r="M370" s="47"/>
      <c r="N370" s="44"/>
      <c r="O370" s="70"/>
      <c r="P370" s="44"/>
      <c r="Q370" s="70"/>
      <c r="R370" s="44"/>
      <c r="S370" s="44"/>
      <c r="T370" s="50"/>
      <c r="U370" s="44"/>
      <c r="V370" s="15"/>
      <c r="X370" s="85"/>
    </row>
    <row r="371" spans="1:24" x14ac:dyDescent="0.25">
      <c r="A371" s="363"/>
      <c r="B371" s="33" t="s">
        <v>1017</v>
      </c>
      <c r="C371" s="40">
        <v>7843</v>
      </c>
      <c r="D371" s="47">
        <f t="shared" ref="D371:D378" si="109">C371*1.0582</f>
        <v>8299.4626000000007</v>
      </c>
      <c r="E371" s="47">
        <f t="shared" ref="E371:E383" si="110">ROUND(D371,0)</f>
        <v>8299</v>
      </c>
      <c r="F371" s="47">
        <f t="shared" si="84"/>
        <v>9062.5079999999998</v>
      </c>
      <c r="G371" s="44">
        <v>9970</v>
      </c>
      <c r="H371" s="53">
        <f t="shared" ref="H371:H378" si="111">J371*I371</f>
        <v>15465.92743951794</v>
      </c>
      <c r="I371" s="70">
        <v>1.0620000000000001</v>
      </c>
      <c r="J371" s="44">
        <f>K371*L371</f>
        <v>14563.020187869999</v>
      </c>
      <c r="K371" s="70">
        <v>1.0640000000000001</v>
      </c>
      <c r="L371" s="44">
        <f>M371*N371</f>
        <v>13687.049048749999</v>
      </c>
      <c r="M371" s="47">
        <v>1.07</v>
      </c>
      <c r="N371" s="44">
        <f>O371*P371</f>
        <v>12791.634624999999</v>
      </c>
      <c r="O371" s="70">
        <v>1.075</v>
      </c>
      <c r="P371" s="44">
        <f>Q371*R371</f>
        <v>11899.195</v>
      </c>
      <c r="Q371" s="70">
        <v>1.085</v>
      </c>
      <c r="R371" s="44">
        <f t="shared" ref="R371:R378" si="112">S371</f>
        <v>10967</v>
      </c>
      <c r="S371" s="44">
        <f>G371*T371</f>
        <v>10967</v>
      </c>
      <c r="T371" s="50">
        <v>1.1000000000000001</v>
      </c>
      <c r="U371" s="44">
        <f>I371*V371</f>
        <v>17574.55198662182</v>
      </c>
      <c r="V371" s="15">
        <f t="shared" ref="V371:V387" si="113">H371*107%</f>
        <v>16548.542360284198</v>
      </c>
      <c r="W371" s="260">
        <f t="shared" ref="W371:W387" si="114">V371</f>
        <v>16548.542360284198</v>
      </c>
      <c r="X371" s="132">
        <f>21222*106.5%</f>
        <v>22601.43</v>
      </c>
    </row>
    <row r="372" spans="1:24" x14ac:dyDescent="0.25">
      <c r="A372" s="363"/>
      <c r="B372" s="33" t="s">
        <v>687</v>
      </c>
      <c r="C372" s="40">
        <v>10084</v>
      </c>
      <c r="D372" s="47">
        <f t="shared" si="109"/>
        <v>10670.888800000001</v>
      </c>
      <c r="E372" s="47">
        <f t="shared" si="110"/>
        <v>10671</v>
      </c>
      <c r="F372" s="47">
        <f t="shared" si="84"/>
        <v>11652.732</v>
      </c>
      <c r="G372" s="44">
        <v>12818</v>
      </c>
      <c r="H372" s="53">
        <f t="shared" si="111"/>
        <v>19883.877424246843</v>
      </c>
      <c r="I372" s="70">
        <v>1.0620000000000001</v>
      </c>
      <c r="J372" s="44">
        <f t="shared" ref="J372:J378" si="115">K372*L372</f>
        <v>18723.048422078005</v>
      </c>
      <c r="K372" s="70">
        <v>1.0640000000000001</v>
      </c>
      <c r="L372" s="44">
        <f t="shared" ref="L372:L385" si="116">M372*N372</f>
        <v>17596.850020750004</v>
      </c>
      <c r="M372" s="47">
        <v>1.07</v>
      </c>
      <c r="N372" s="44">
        <f t="shared" ref="N372:N385" si="117">O372*P372</f>
        <v>16445.654225000002</v>
      </c>
      <c r="O372" s="70">
        <v>1.075</v>
      </c>
      <c r="P372" s="44">
        <f>Q372*R372</f>
        <v>15298.283000000001</v>
      </c>
      <c r="Q372" s="70">
        <v>1.085</v>
      </c>
      <c r="R372" s="44">
        <f t="shared" si="112"/>
        <v>14099.800000000001</v>
      </c>
      <c r="S372" s="44">
        <f>G372*T372</f>
        <v>14099.800000000001</v>
      </c>
      <c r="T372" s="50">
        <v>1.1000000000000001</v>
      </c>
      <c r="U372" s="44">
        <f>I372*V372</f>
        <v>22594.84527226866</v>
      </c>
      <c r="V372" s="15">
        <f t="shared" si="113"/>
        <v>21275.748843944122</v>
      </c>
      <c r="W372" s="260">
        <f t="shared" si="114"/>
        <v>21275.748843944122</v>
      </c>
      <c r="X372" s="132">
        <f>27282*106.5%</f>
        <v>29055.329999999998</v>
      </c>
    </row>
    <row r="373" spans="1:24" x14ac:dyDescent="0.25">
      <c r="A373" s="363"/>
      <c r="B373" s="33" t="s">
        <v>688</v>
      </c>
      <c r="C373" s="40">
        <v>7275</v>
      </c>
      <c r="D373" s="47">
        <f t="shared" si="109"/>
        <v>7698.4050000000007</v>
      </c>
      <c r="E373" s="47">
        <f t="shared" si="110"/>
        <v>7698</v>
      </c>
      <c r="F373" s="47">
        <f t="shared" si="84"/>
        <v>8406.2160000000003</v>
      </c>
      <c r="G373" s="44">
        <v>9247</v>
      </c>
      <c r="H373" s="53">
        <f t="shared" si="111"/>
        <v>14687.483749665302</v>
      </c>
      <c r="I373" s="70">
        <v>1.0620000000000001</v>
      </c>
      <c r="J373" s="44">
        <f t="shared" si="115"/>
        <v>13830.022363150001</v>
      </c>
      <c r="K373" s="70">
        <v>1.0640000000000001</v>
      </c>
      <c r="L373" s="44">
        <f t="shared" si="116"/>
        <v>12998.14131875</v>
      </c>
      <c r="M373" s="47">
        <v>1.07</v>
      </c>
      <c r="N373" s="44">
        <f t="shared" si="117"/>
        <v>12147.795624999999</v>
      </c>
      <c r="O373" s="70">
        <v>1.075</v>
      </c>
      <c r="P373" s="44">
        <f t="shared" ref="P373:P448" si="118">Q373*R373</f>
        <v>11300.275</v>
      </c>
      <c r="Q373" s="70">
        <v>1.085</v>
      </c>
      <c r="R373" s="44">
        <f t="shared" si="112"/>
        <v>10415</v>
      </c>
      <c r="S373" s="44">
        <v>10415</v>
      </c>
      <c r="T373" s="71" t="s">
        <v>437</v>
      </c>
      <c r="U373" s="44">
        <v>10416</v>
      </c>
      <c r="V373" s="15">
        <f t="shared" si="113"/>
        <v>15715.607612141874</v>
      </c>
      <c r="W373" s="260">
        <f t="shared" si="114"/>
        <v>15715.607612141874</v>
      </c>
      <c r="X373" s="132">
        <f>20152*106.5%</f>
        <v>21461.879999999997</v>
      </c>
    </row>
    <row r="374" spans="1:24" x14ac:dyDescent="0.25">
      <c r="A374" s="363"/>
      <c r="B374" s="33" t="s">
        <v>689</v>
      </c>
      <c r="C374" s="40">
        <v>11153</v>
      </c>
      <c r="D374" s="47">
        <f t="shared" si="109"/>
        <v>11802.104600000001</v>
      </c>
      <c r="E374" s="47">
        <f t="shared" si="110"/>
        <v>11802</v>
      </c>
      <c r="F374" s="47">
        <f t="shared" si="84"/>
        <v>12887.784000000001</v>
      </c>
      <c r="G374" s="44">
        <v>14177</v>
      </c>
      <c r="H374" s="53">
        <f t="shared" si="111"/>
        <v>21992.906174400003</v>
      </c>
      <c r="I374" s="70">
        <v>1.0620000000000001</v>
      </c>
      <c r="J374" s="44">
        <f t="shared" si="115"/>
        <v>20708.951200000003</v>
      </c>
      <c r="K374" s="70">
        <v>1.0640000000000001</v>
      </c>
      <c r="L374" s="44">
        <f t="shared" si="116"/>
        <v>19463.300000000003</v>
      </c>
      <c r="M374" s="47">
        <v>1.07</v>
      </c>
      <c r="N374" s="44">
        <v>18190</v>
      </c>
      <c r="O374" s="113" t="s">
        <v>258</v>
      </c>
      <c r="P374" s="44">
        <v>16921</v>
      </c>
      <c r="Q374" s="113" t="s">
        <v>258</v>
      </c>
      <c r="R374" s="44">
        <f t="shared" si="112"/>
        <v>15594.7</v>
      </c>
      <c r="S374" s="44">
        <f>G374*T374</f>
        <v>15594.7</v>
      </c>
      <c r="T374" s="50">
        <v>1.1000000000000001</v>
      </c>
      <c r="U374" s="44">
        <f>I374*V374</f>
        <v>24991.419002217703</v>
      </c>
      <c r="V374" s="15">
        <f t="shared" si="113"/>
        <v>23532.409606608006</v>
      </c>
      <c r="W374" s="260">
        <f t="shared" si="114"/>
        <v>23532.409606608006</v>
      </c>
      <c r="X374" s="132">
        <f>30175*106.5%</f>
        <v>32136.375</v>
      </c>
    </row>
    <row r="375" spans="1:24" x14ac:dyDescent="0.25">
      <c r="A375" s="363"/>
      <c r="B375" s="33" t="s">
        <v>690</v>
      </c>
      <c r="C375" s="40">
        <v>8430</v>
      </c>
      <c r="D375" s="47">
        <f t="shared" si="109"/>
        <v>8920.6260000000002</v>
      </c>
      <c r="E375" s="47">
        <f t="shared" si="110"/>
        <v>8921</v>
      </c>
      <c r="F375" s="47">
        <f t="shared" si="84"/>
        <v>9741.732</v>
      </c>
      <c r="G375" s="44">
        <v>10716</v>
      </c>
      <c r="H375" s="53">
        <f t="shared" si="111"/>
        <v>16623.157316135836</v>
      </c>
      <c r="I375" s="70">
        <v>1.0620000000000001</v>
      </c>
      <c r="J375" s="44">
        <f t="shared" si="115"/>
        <v>15652.690504836002</v>
      </c>
      <c r="K375" s="70">
        <v>1.0640000000000001</v>
      </c>
      <c r="L375" s="44">
        <f t="shared" si="116"/>
        <v>14711.175286500002</v>
      </c>
      <c r="M375" s="47">
        <v>1.07</v>
      </c>
      <c r="N375" s="44">
        <f t="shared" si="117"/>
        <v>13748.76195</v>
      </c>
      <c r="O375" s="70">
        <v>1.075</v>
      </c>
      <c r="P375" s="44">
        <f t="shared" si="118"/>
        <v>12789.546</v>
      </c>
      <c r="Q375" s="70">
        <v>1.085</v>
      </c>
      <c r="R375" s="44">
        <f t="shared" si="112"/>
        <v>11787.6</v>
      </c>
      <c r="S375" s="44">
        <f>G375*T375</f>
        <v>11787.6</v>
      </c>
      <c r="T375" s="50">
        <v>1.1000000000000001</v>
      </c>
      <c r="U375" s="44">
        <f>I375*V375</f>
        <v>18889.558584617796</v>
      </c>
      <c r="V375" s="15">
        <f t="shared" si="113"/>
        <v>17786.778328265344</v>
      </c>
      <c r="W375" s="260">
        <f t="shared" si="114"/>
        <v>17786.778328265344</v>
      </c>
      <c r="X375" s="132">
        <f>22808*106.5%</f>
        <v>24290.52</v>
      </c>
    </row>
    <row r="376" spans="1:24" x14ac:dyDescent="0.25">
      <c r="A376" s="363"/>
      <c r="B376" s="33" t="s">
        <v>691</v>
      </c>
      <c r="C376" s="40">
        <v>5708</v>
      </c>
      <c r="D376" s="47">
        <f t="shared" si="109"/>
        <v>6040.2056000000002</v>
      </c>
      <c r="E376" s="47">
        <f t="shared" si="110"/>
        <v>6040</v>
      </c>
      <c r="F376" s="47">
        <f t="shared" si="84"/>
        <v>6595.68</v>
      </c>
      <c r="G376" s="44">
        <v>7256</v>
      </c>
      <c r="H376" s="53">
        <f t="shared" si="111"/>
        <v>11542.6840605867</v>
      </c>
      <c r="I376" s="70">
        <v>1.0620000000000001</v>
      </c>
      <c r="J376" s="44">
        <f t="shared" si="115"/>
        <v>10868.81738285</v>
      </c>
      <c r="K376" s="70">
        <v>1.0640000000000001</v>
      </c>
      <c r="L376" s="44">
        <f t="shared" si="116"/>
        <v>10215.05393125</v>
      </c>
      <c r="M376" s="47">
        <v>1.07</v>
      </c>
      <c r="N376" s="44">
        <f t="shared" si="117"/>
        <v>9546.7793750000001</v>
      </c>
      <c r="O376" s="70">
        <v>1.075</v>
      </c>
      <c r="P376" s="44">
        <f t="shared" si="118"/>
        <v>8880.7250000000004</v>
      </c>
      <c r="Q376" s="70">
        <v>1.085</v>
      </c>
      <c r="R376" s="44">
        <f t="shared" si="112"/>
        <v>8185</v>
      </c>
      <c r="S376" s="44">
        <v>8185</v>
      </c>
      <c r="T376" s="71" t="s">
        <v>437</v>
      </c>
      <c r="U376" s="44">
        <v>8186</v>
      </c>
      <c r="V376" s="15">
        <f t="shared" si="113"/>
        <v>12350.671944827769</v>
      </c>
      <c r="W376" s="260">
        <f t="shared" si="114"/>
        <v>12350.671944827769</v>
      </c>
      <c r="X376" s="132">
        <f>15837*106.5%</f>
        <v>16866.404999999999</v>
      </c>
    </row>
    <row r="377" spans="1:24" x14ac:dyDescent="0.25">
      <c r="A377" s="363"/>
      <c r="B377" s="33" t="s">
        <v>692</v>
      </c>
      <c r="C377" s="40">
        <v>4001</v>
      </c>
      <c r="D377" s="47">
        <f t="shared" si="109"/>
        <v>4233.8581999999997</v>
      </c>
      <c r="E377" s="47">
        <f t="shared" si="110"/>
        <v>4234</v>
      </c>
      <c r="F377" s="47">
        <f t="shared" si="84"/>
        <v>4623.5280000000002</v>
      </c>
      <c r="G377" s="44">
        <v>5086</v>
      </c>
      <c r="H377" s="53">
        <f t="shared" si="111"/>
        <v>7889.6396145825729</v>
      </c>
      <c r="I377" s="70">
        <v>1.0620000000000001</v>
      </c>
      <c r="J377" s="44">
        <f t="shared" si="115"/>
        <v>7429.0391851060003</v>
      </c>
      <c r="K377" s="70">
        <v>1.0640000000000001</v>
      </c>
      <c r="L377" s="44">
        <f t="shared" si="116"/>
        <v>6982.1796852500001</v>
      </c>
      <c r="M377" s="47">
        <v>1.07</v>
      </c>
      <c r="N377" s="44">
        <f t="shared" si="117"/>
        <v>6525.4015749999999</v>
      </c>
      <c r="O377" s="70">
        <v>1.075</v>
      </c>
      <c r="P377" s="44">
        <f t="shared" si="118"/>
        <v>6070.1410000000005</v>
      </c>
      <c r="Q377" s="70">
        <v>1.085</v>
      </c>
      <c r="R377" s="44">
        <f t="shared" si="112"/>
        <v>5594.6</v>
      </c>
      <c r="S377" s="44">
        <f>G377*T377</f>
        <v>5594.6</v>
      </c>
      <c r="T377" s="50">
        <v>1.1000000000000001</v>
      </c>
      <c r="U377" s="44">
        <f>I377*V377</f>
        <v>8965.3130796347632</v>
      </c>
      <c r="V377" s="15">
        <f t="shared" si="113"/>
        <v>8441.914387603354</v>
      </c>
      <c r="W377" s="260">
        <f t="shared" si="114"/>
        <v>8441.914387603354</v>
      </c>
      <c r="X377" s="132">
        <f>10825*106.5%</f>
        <v>11528.625</v>
      </c>
    </row>
    <row r="378" spans="1:24" x14ac:dyDescent="0.25">
      <c r="A378" s="363"/>
      <c r="B378" s="33" t="s">
        <v>833</v>
      </c>
      <c r="C378" s="40">
        <v>4051</v>
      </c>
      <c r="D378" s="47">
        <f t="shared" si="109"/>
        <v>4286.7682000000004</v>
      </c>
      <c r="E378" s="47">
        <f t="shared" si="110"/>
        <v>4287</v>
      </c>
      <c r="F378" s="47">
        <f t="shared" si="84"/>
        <v>4681.4040000000005</v>
      </c>
      <c r="G378" s="44">
        <v>5149</v>
      </c>
      <c r="H378" s="53">
        <f t="shared" si="111"/>
        <v>7987.3681430368988</v>
      </c>
      <c r="I378" s="70">
        <v>1.0620000000000001</v>
      </c>
      <c r="J378" s="44">
        <f t="shared" si="115"/>
        <v>7521.0622815790002</v>
      </c>
      <c r="K378" s="70">
        <v>1.0640000000000001</v>
      </c>
      <c r="L378" s="44">
        <f t="shared" si="116"/>
        <v>7068.6675578750001</v>
      </c>
      <c r="M378" s="47">
        <v>1.07</v>
      </c>
      <c r="N378" s="44">
        <f t="shared" si="117"/>
        <v>6606.2313624999997</v>
      </c>
      <c r="O378" s="70">
        <v>1.075</v>
      </c>
      <c r="P378" s="44">
        <f t="shared" si="118"/>
        <v>6145.3315000000002</v>
      </c>
      <c r="Q378" s="70">
        <v>1.085</v>
      </c>
      <c r="R378" s="44">
        <f t="shared" si="112"/>
        <v>5663.9000000000005</v>
      </c>
      <c r="S378" s="44">
        <f>G378*T378</f>
        <v>5663.9000000000005</v>
      </c>
      <c r="T378" s="50">
        <v>1.1000000000000001</v>
      </c>
      <c r="U378" s="44">
        <f>I378*V378</f>
        <v>9076.3659156585509</v>
      </c>
      <c r="V378" s="15">
        <f t="shared" si="113"/>
        <v>8546.483913049482</v>
      </c>
      <c r="W378" s="260">
        <f t="shared" si="114"/>
        <v>8546.483913049482</v>
      </c>
      <c r="X378" s="132">
        <f>10958*106.5%</f>
        <v>11670.269999999999</v>
      </c>
    </row>
    <row r="379" spans="1:24" x14ac:dyDescent="0.25">
      <c r="A379" s="362" t="s">
        <v>302</v>
      </c>
      <c r="B379" s="356" t="s">
        <v>663</v>
      </c>
      <c r="C379" s="357"/>
      <c r="D379" s="357"/>
      <c r="E379" s="357"/>
      <c r="F379" s="357"/>
      <c r="G379" s="357"/>
      <c r="H379" s="357"/>
      <c r="I379" s="357"/>
      <c r="J379" s="358"/>
      <c r="K379" s="47"/>
      <c r="L379" s="44"/>
      <c r="M379" s="47"/>
      <c r="N379" s="44"/>
      <c r="O379" s="70"/>
      <c r="P379" s="44"/>
      <c r="Q379" s="70"/>
      <c r="R379" s="44"/>
      <c r="S379" s="86"/>
      <c r="T379" s="50"/>
      <c r="U379" s="86"/>
      <c r="V379" s="23"/>
      <c r="X379" s="132"/>
    </row>
    <row r="380" spans="1:24" x14ac:dyDescent="0.25">
      <c r="A380" s="363"/>
      <c r="B380" s="33" t="s">
        <v>693</v>
      </c>
      <c r="C380" s="40">
        <v>5334</v>
      </c>
      <c r="D380" s="47">
        <f>C380*1.0582</f>
        <v>5644.4387999999999</v>
      </c>
      <c r="E380" s="47">
        <f t="shared" si="110"/>
        <v>5644</v>
      </c>
      <c r="F380" s="47">
        <f t="shared" si="84"/>
        <v>6163.2480000000005</v>
      </c>
      <c r="G380" s="44">
        <v>6780</v>
      </c>
      <c r="H380" s="53">
        <f t="shared" ref="H380:H387" si="119">J380*I380</f>
        <v>10517.451157465561</v>
      </c>
      <c r="I380" s="70">
        <v>1.0620000000000001</v>
      </c>
      <c r="J380" s="44">
        <f t="shared" ref="J380:J385" si="120">K380*L380</f>
        <v>9903.4380013800001</v>
      </c>
      <c r="K380" s="70">
        <v>1.0640000000000001</v>
      </c>
      <c r="L380" s="44">
        <f t="shared" si="116"/>
        <v>9307.7424824999998</v>
      </c>
      <c r="M380" s="47">
        <v>1.07</v>
      </c>
      <c r="N380" s="44">
        <f t="shared" si="117"/>
        <v>8698.8247499999998</v>
      </c>
      <c r="O380" s="70">
        <v>1.075</v>
      </c>
      <c r="P380" s="44">
        <f t="shared" si="118"/>
        <v>8091.93</v>
      </c>
      <c r="Q380" s="70">
        <v>1.085</v>
      </c>
      <c r="R380" s="44">
        <f t="shared" ref="R380:R390" si="121">S380</f>
        <v>7458.0000000000009</v>
      </c>
      <c r="S380" s="44">
        <f t="shared" ref="S380:U385" si="122">G380*T380</f>
        <v>7458.0000000000009</v>
      </c>
      <c r="T380" s="50">
        <v>1.1000000000000001</v>
      </c>
      <c r="U380" s="44">
        <f t="shared" si="122"/>
        <v>11951.400448274417</v>
      </c>
      <c r="V380" s="15">
        <f t="shared" si="113"/>
        <v>11253.672738488151</v>
      </c>
      <c r="W380" s="260">
        <f t="shared" si="114"/>
        <v>11253.672738488151</v>
      </c>
      <c r="X380" s="132">
        <f>14432*106.5%</f>
        <v>15370.08</v>
      </c>
    </row>
    <row r="381" spans="1:24" x14ac:dyDescent="0.25">
      <c r="A381" s="363"/>
      <c r="B381" s="33" t="s">
        <v>694</v>
      </c>
      <c r="C381" s="40">
        <v>4051</v>
      </c>
      <c r="D381" s="47">
        <f>C381*1.0582</f>
        <v>4286.7682000000004</v>
      </c>
      <c r="E381" s="47">
        <f t="shared" si="110"/>
        <v>4287</v>
      </c>
      <c r="F381" s="47">
        <f t="shared" si="84"/>
        <v>4681.4040000000005</v>
      </c>
      <c r="G381" s="44">
        <v>5150</v>
      </c>
      <c r="H381" s="53">
        <f t="shared" si="119"/>
        <v>7988.9193895203016</v>
      </c>
      <c r="I381" s="70">
        <v>1.0620000000000001</v>
      </c>
      <c r="J381" s="44">
        <f t="shared" si="120"/>
        <v>7522.5229656500014</v>
      </c>
      <c r="K381" s="70">
        <v>1.0640000000000001</v>
      </c>
      <c r="L381" s="44">
        <f t="shared" si="116"/>
        <v>7070.0403812500008</v>
      </c>
      <c r="M381" s="47">
        <v>1.07</v>
      </c>
      <c r="N381" s="44">
        <f t="shared" si="117"/>
        <v>6607.5143750000007</v>
      </c>
      <c r="O381" s="70">
        <v>1.075</v>
      </c>
      <c r="P381" s="44">
        <f t="shared" si="118"/>
        <v>6146.5250000000005</v>
      </c>
      <c r="Q381" s="70">
        <v>1.085</v>
      </c>
      <c r="R381" s="44">
        <f t="shared" si="121"/>
        <v>5665.0000000000009</v>
      </c>
      <c r="S381" s="44">
        <f t="shared" si="122"/>
        <v>5665.0000000000009</v>
      </c>
      <c r="T381" s="50">
        <v>1.1000000000000001</v>
      </c>
      <c r="U381" s="44">
        <f t="shared" si="122"/>
        <v>9078.1286590875006</v>
      </c>
      <c r="V381" s="15">
        <f t="shared" si="113"/>
        <v>8548.1437467867236</v>
      </c>
      <c r="W381" s="260">
        <f t="shared" si="114"/>
        <v>8548.1437467867236</v>
      </c>
      <c r="X381" s="132">
        <f>10961*106.5%</f>
        <v>11673.465</v>
      </c>
    </row>
    <row r="382" spans="1:24" x14ac:dyDescent="0.25">
      <c r="A382" s="363"/>
      <c r="B382" s="33" t="s">
        <v>695</v>
      </c>
      <c r="C382" s="40">
        <v>3072</v>
      </c>
      <c r="D382" s="47">
        <f>C382*1.0582</f>
        <v>3250.7903999999999</v>
      </c>
      <c r="E382" s="47">
        <f t="shared" si="110"/>
        <v>3251</v>
      </c>
      <c r="F382" s="47">
        <f t="shared" si="84"/>
        <v>3550.0920000000001</v>
      </c>
      <c r="G382" s="44">
        <v>3905</v>
      </c>
      <c r="H382" s="53">
        <f t="shared" si="119"/>
        <v>6057.617517684811</v>
      </c>
      <c r="I382" s="70">
        <v>1.0620000000000001</v>
      </c>
      <c r="J382" s="44">
        <f t="shared" si="120"/>
        <v>5703.9712972550005</v>
      </c>
      <c r="K382" s="70">
        <v>1.0640000000000001</v>
      </c>
      <c r="L382" s="44">
        <f t="shared" si="116"/>
        <v>5360.875279375</v>
      </c>
      <c r="M382" s="47">
        <v>1.07</v>
      </c>
      <c r="N382" s="44">
        <f t="shared" si="117"/>
        <v>5010.1638124999999</v>
      </c>
      <c r="O382" s="70">
        <v>1.075</v>
      </c>
      <c r="P382" s="44">
        <f t="shared" si="118"/>
        <v>4660.6175000000003</v>
      </c>
      <c r="Q382" s="70">
        <v>1.085</v>
      </c>
      <c r="R382" s="44">
        <f t="shared" si="121"/>
        <v>4295.5</v>
      </c>
      <c r="S382" s="44">
        <f t="shared" si="122"/>
        <v>4295.5</v>
      </c>
      <c r="T382" s="50">
        <v>1.1000000000000001</v>
      </c>
      <c r="U382" s="44">
        <f t="shared" si="122"/>
        <v>6883.513090045959</v>
      </c>
      <c r="V382" s="15">
        <f t="shared" si="113"/>
        <v>6481.650743922748</v>
      </c>
      <c r="W382" s="260">
        <f t="shared" si="114"/>
        <v>6481.650743922748</v>
      </c>
      <c r="X382" s="132">
        <f>8312*106.5%</f>
        <v>8852.2799999999988</v>
      </c>
    </row>
    <row r="383" spans="1:24" x14ac:dyDescent="0.25">
      <c r="A383" s="363"/>
      <c r="B383" s="33" t="s">
        <v>696</v>
      </c>
      <c r="C383" s="40">
        <v>1387</v>
      </c>
      <c r="D383" s="47">
        <f>C383*1.0582</f>
        <v>1467.7234000000001</v>
      </c>
      <c r="E383" s="47">
        <f t="shared" si="110"/>
        <v>1468</v>
      </c>
      <c r="F383" s="47">
        <f t="shared" si="84"/>
        <v>1603.056</v>
      </c>
      <c r="G383" s="44">
        <v>1763</v>
      </c>
      <c r="H383" s="53">
        <f t="shared" si="119"/>
        <v>2734.847550237726</v>
      </c>
      <c r="I383" s="70">
        <v>1.0620000000000001</v>
      </c>
      <c r="J383" s="44">
        <f t="shared" si="120"/>
        <v>2575.186017173</v>
      </c>
      <c r="K383" s="70">
        <v>1.0640000000000001</v>
      </c>
      <c r="L383" s="44">
        <f t="shared" si="116"/>
        <v>2420.2876101249999</v>
      </c>
      <c r="M383" s="47">
        <v>1.07</v>
      </c>
      <c r="N383" s="44">
        <f t="shared" si="117"/>
        <v>2261.9510375</v>
      </c>
      <c r="O383" s="70">
        <v>1.075</v>
      </c>
      <c r="P383" s="44">
        <f t="shared" si="118"/>
        <v>2104.1405</v>
      </c>
      <c r="Q383" s="70">
        <v>1.085</v>
      </c>
      <c r="R383" s="44">
        <f t="shared" si="121"/>
        <v>1939.3000000000002</v>
      </c>
      <c r="S383" s="44">
        <f t="shared" si="122"/>
        <v>1939.3000000000002</v>
      </c>
      <c r="T383" s="50">
        <v>1.1000000000000001</v>
      </c>
      <c r="U383" s="44">
        <f t="shared" si="122"/>
        <v>3107.7166652371379</v>
      </c>
      <c r="V383" s="15">
        <f t="shared" si="113"/>
        <v>2926.2868787543671</v>
      </c>
      <c r="W383" s="260">
        <f t="shared" si="114"/>
        <v>2926.2868787543671</v>
      </c>
      <c r="X383" s="132">
        <f>3752*106.5%</f>
        <v>3995.8799999999997</v>
      </c>
    </row>
    <row r="384" spans="1:24" x14ac:dyDescent="0.25">
      <c r="A384" s="128" t="s">
        <v>697</v>
      </c>
      <c r="B384" s="164" t="s">
        <v>823</v>
      </c>
      <c r="C384" s="40"/>
      <c r="D384" s="47"/>
      <c r="E384" s="56">
        <v>14900</v>
      </c>
      <c r="F384" s="47">
        <f t="shared" si="84"/>
        <v>16270.800000000001</v>
      </c>
      <c r="G384" s="44">
        <v>17898</v>
      </c>
      <c r="H384" s="53">
        <f t="shared" si="119"/>
        <v>27764.209559929004</v>
      </c>
      <c r="I384" s="70">
        <v>1.0620000000000001</v>
      </c>
      <c r="J384" s="44">
        <f t="shared" si="120"/>
        <v>26143.323502758005</v>
      </c>
      <c r="K384" s="70">
        <v>1.0640000000000001</v>
      </c>
      <c r="L384" s="44">
        <f t="shared" si="116"/>
        <v>24570.792765750004</v>
      </c>
      <c r="M384" s="47">
        <v>1.07</v>
      </c>
      <c r="N384" s="44">
        <f t="shared" si="117"/>
        <v>22963.357725000002</v>
      </c>
      <c r="O384" s="70">
        <v>1.075</v>
      </c>
      <c r="P384" s="44">
        <f t="shared" si="118"/>
        <v>21361.263000000003</v>
      </c>
      <c r="Q384" s="70">
        <v>1.085</v>
      </c>
      <c r="R384" s="44">
        <f t="shared" si="121"/>
        <v>19687.800000000003</v>
      </c>
      <c r="S384" s="44">
        <f t="shared" si="122"/>
        <v>19687.800000000003</v>
      </c>
      <c r="T384" s="50">
        <v>1.1000000000000001</v>
      </c>
      <c r="U384" s="44">
        <f t="shared" si="122"/>
        <v>31549.581891329726</v>
      </c>
      <c r="V384" s="15">
        <f t="shared" si="113"/>
        <v>29707.704229124036</v>
      </c>
      <c r="W384" s="260">
        <f t="shared" si="114"/>
        <v>29707.704229124036</v>
      </c>
      <c r="X384" s="132">
        <f>38096*106.5%</f>
        <v>40572.239999999998</v>
      </c>
    </row>
    <row r="385" spans="1:24" ht="14.1" customHeight="1" x14ac:dyDescent="0.25">
      <c r="A385" s="128" t="s">
        <v>698</v>
      </c>
      <c r="B385" s="36" t="s">
        <v>800</v>
      </c>
      <c r="C385" s="40"/>
      <c r="D385" s="47"/>
      <c r="E385" s="56">
        <v>140</v>
      </c>
      <c r="F385" s="56">
        <f t="shared" si="84"/>
        <v>152.88000000000002</v>
      </c>
      <c r="G385" s="44">
        <v>168</v>
      </c>
      <c r="H385" s="53">
        <f t="shared" si="119"/>
        <v>260.60940921153605</v>
      </c>
      <c r="I385" s="70">
        <v>1.0620000000000001</v>
      </c>
      <c r="J385" s="44">
        <f t="shared" si="120"/>
        <v>245.39492392800003</v>
      </c>
      <c r="K385" s="70">
        <v>1.0640000000000001</v>
      </c>
      <c r="L385" s="44">
        <f t="shared" si="116"/>
        <v>230.63432700000001</v>
      </c>
      <c r="M385" s="47">
        <v>1.07</v>
      </c>
      <c r="N385" s="44">
        <f t="shared" si="117"/>
        <v>215.5461</v>
      </c>
      <c r="O385" s="70">
        <v>1.075</v>
      </c>
      <c r="P385" s="44">
        <f t="shared" si="118"/>
        <v>200.50800000000001</v>
      </c>
      <c r="Q385" s="70">
        <v>1.085</v>
      </c>
      <c r="R385" s="44">
        <f t="shared" si="121"/>
        <v>184.8</v>
      </c>
      <c r="S385" s="44">
        <f t="shared" si="122"/>
        <v>184.8</v>
      </c>
      <c r="T385" s="50">
        <v>1.1000000000000001</v>
      </c>
      <c r="U385" s="44">
        <f t="shared" si="122"/>
        <v>296.14089606343691</v>
      </c>
      <c r="V385" s="15">
        <f t="shared" si="113"/>
        <v>278.85206785634358</v>
      </c>
      <c r="W385" s="260">
        <f t="shared" si="114"/>
        <v>278.85206785634358</v>
      </c>
      <c r="X385" s="132">
        <f>357*106.5%</f>
        <v>380.20499999999998</v>
      </c>
    </row>
    <row r="386" spans="1:24" ht="48.95" customHeight="1" x14ac:dyDescent="0.25">
      <c r="A386" s="128" t="s">
        <v>699</v>
      </c>
      <c r="B386" s="33" t="s">
        <v>681</v>
      </c>
      <c r="C386" s="41"/>
      <c r="D386" s="47"/>
      <c r="E386" s="56" t="s">
        <v>623</v>
      </c>
      <c r="F386" s="56" t="s">
        <v>623</v>
      </c>
      <c r="G386" s="56" t="s">
        <v>623</v>
      </c>
      <c r="H386" s="56" t="s">
        <v>623</v>
      </c>
      <c r="I386" s="56"/>
      <c r="J386" s="56" t="s">
        <v>623</v>
      </c>
      <c r="K386" s="47"/>
      <c r="L386" s="56" t="s">
        <v>623</v>
      </c>
      <c r="M386" s="47"/>
      <c r="N386" s="56"/>
      <c r="O386" s="70">
        <v>1.075</v>
      </c>
      <c r="P386" s="56" t="s">
        <v>623</v>
      </c>
      <c r="Q386" s="70">
        <v>1.085</v>
      </c>
      <c r="R386" s="44" t="str">
        <f t="shared" si="121"/>
        <v>договорная</v>
      </c>
      <c r="S386" s="56" t="s">
        <v>623</v>
      </c>
      <c r="T386" s="50">
        <v>1.1000000000000001</v>
      </c>
      <c r="U386" s="56" t="s">
        <v>623</v>
      </c>
      <c r="V386" s="23"/>
      <c r="W386" s="85" t="s">
        <v>623</v>
      </c>
      <c r="X386" s="335" t="s">
        <v>1010</v>
      </c>
    </row>
    <row r="387" spans="1:24" ht="14.1" customHeight="1" x14ac:dyDescent="0.25">
      <c r="A387" s="128" t="s">
        <v>700</v>
      </c>
      <c r="B387" s="33" t="s">
        <v>801</v>
      </c>
      <c r="C387" s="41"/>
      <c r="D387" s="47"/>
      <c r="E387" s="56"/>
      <c r="F387" s="56" t="s">
        <v>623</v>
      </c>
      <c r="G387" s="56" t="s">
        <v>623</v>
      </c>
      <c r="H387" s="53">
        <f t="shared" si="119"/>
        <v>2357.6400000000003</v>
      </c>
      <c r="I387" s="70">
        <v>1.0620000000000001</v>
      </c>
      <c r="J387" s="56">
        <v>2220</v>
      </c>
      <c r="K387" s="47"/>
      <c r="L387" s="56" t="s">
        <v>623</v>
      </c>
      <c r="M387" s="47"/>
      <c r="N387" s="56"/>
      <c r="O387" s="70">
        <v>1.075</v>
      </c>
      <c r="P387" s="56" t="s">
        <v>623</v>
      </c>
      <c r="Q387" s="70">
        <v>1.085</v>
      </c>
      <c r="R387" s="44" t="str">
        <f t="shared" si="121"/>
        <v>договорная</v>
      </c>
      <c r="S387" s="56" t="s">
        <v>623</v>
      </c>
      <c r="T387" s="50">
        <v>1.1000000000000001</v>
      </c>
      <c r="U387" s="56" t="s">
        <v>623</v>
      </c>
      <c r="V387" s="15">
        <f t="shared" si="113"/>
        <v>2522.6748000000007</v>
      </c>
      <c r="W387" s="132">
        <f t="shared" si="114"/>
        <v>2522.6748000000007</v>
      </c>
      <c r="X387" s="132">
        <f>3236*106.5%</f>
        <v>3446.3399999999997</v>
      </c>
    </row>
    <row r="388" spans="1:24" ht="50.45" customHeight="1" x14ac:dyDescent="0.25">
      <c r="A388" s="128" t="s">
        <v>701</v>
      </c>
      <c r="B388" s="33" t="s">
        <v>682</v>
      </c>
      <c r="C388" s="41"/>
      <c r="D388" s="47"/>
      <c r="E388" s="56"/>
      <c r="F388" s="56" t="s">
        <v>623</v>
      </c>
      <c r="G388" s="56" t="s">
        <v>623</v>
      </c>
      <c r="H388" s="56" t="s">
        <v>623</v>
      </c>
      <c r="I388" s="56"/>
      <c r="J388" s="56" t="s">
        <v>623</v>
      </c>
      <c r="K388" s="47"/>
      <c r="L388" s="56" t="s">
        <v>623</v>
      </c>
      <c r="M388" s="47"/>
      <c r="N388" s="56"/>
      <c r="O388" s="70">
        <v>1.075</v>
      </c>
      <c r="P388" s="56" t="s">
        <v>623</v>
      </c>
      <c r="Q388" s="70">
        <v>1.085</v>
      </c>
      <c r="R388" s="44" t="str">
        <f t="shared" si="121"/>
        <v>договорная</v>
      </c>
      <c r="S388" s="56" t="s">
        <v>623</v>
      </c>
      <c r="T388" s="50">
        <v>1.1000000000000001</v>
      </c>
      <c r="U388" s="56" t="s">
        <v>623</v>
      </c>
      <c r="V388" s="23"/>
      <c r="W388" s="85" t="s">
        <v>623</v>
      </c>
      <c r="X388" s="335" t="s">
        <v>1010</v>
      </c>
    </row>
    <row r="389" spans="1:24" ht="50.45" customHeight="1" x14ac:dyDescent="0.25">
      <c r="A389" s="128" t="s">
        <v>702</v>
      </c>
      <c r="B389" s="33" t="s">
        <v>809</v>
      </c>
      <c r="C389" s="41"/>
      <c r="D389" s="47"/>
      <c r="E389" s="56"/>
      <c r="F389" s="56"/>
      <c r="G389" s="56"/>
      <c r="H389" s="56" t="s">
        <v>623</v>
      </c>
      <c r="I389" s="56"/>
      <c r="J389" s="56" t="s">
        <v>623</v>
      </c>
      <c r="K389" s="47"/>
      <c r="L389" s="56"/>
      <c r="M389" s="47"/>
      <c r="N389" s="56"/>
      <c r="O389" s="70"/>
      <c r="P389" s="56"/>
      <c r="Q389" s="70"/>
      <c r="R389" s="44"/>
      <c r="S389" s="56"/>
      <c r="T389" s="50"/>
      <c r="U389" s="56"/>
      <c r="V389" s="23"/>
      <c r="W389" s="85" t="s">
        <v>623</v>
      </c>
      <c r="X389" s="335" t="s">
        <v>1010</v>
      </c>
    </row>
    <row r="390" spans="1:24" ht="51" customHeight="1" x14ac:dyDescent="0.25">
      <c r="A390" s="128" t="s">
        <v>808</v>
      </c>
      <c r="B390" s="108" t="s">
        <v>683</v>
      </c>
      <c r="C390" s="41"/>
      <c r="D390" s="47"/>
      <c r="E390" s="56"/>
      <c r="F390" s="56"/>
      <c r="G390" s="56" t="s">
        <v>623</v>
      </c>
      <c r="H390" s="56" t="s">
        <v>623</v>
      </c>
      <c r="I390" s="56"/>
      <c r="J390" s="56" t="s">
        <v>623</v>
      </c>
      <c r="K390" s="47"/>
      <c r="L390" s="56" t="s">
        <v>623</v>
      </c>
      <c r="M390" s="47"/>
      <c r="N390" s="56"/>
      <c r="O390" s="70"/>
      <c r="P390" s="56" t="s">
        <v>623</v>
      </c>
      <c r="Q390" s="70"/>
      <c r="R390" s="44" t="str">
        <f t="shared" si="121"/>
        <v>договорная</v>
      </c>
      <c r="S390" s="56" t="s">
        <v>623</v>
      </c>
      <c r="T390" s="50"/>
      <c r="U390" s="56" t="s">
        <v>623</v>
      </c>
      <c r="V390" s="23"/>
      <c r="W390" s="85" t="s">
        <v>623</v>
      </c>
      <c r="X390" s="335" t="s">
        <v>1010</v>
      </c>
    </row>
    <row r="391" spans="1:24" ht="15.95" customHeight="1" x14ac:dyDescent="0.25">
      <c r="A391" s="381" t="s">
        <v>31</v>
      </c>
      <c r="B391" s="382"/>
      <c r="C391" s="382"/>
      <c r="D391" s="382"/>
      <c r="E391" s="382"/>
      <c r="F391" s="382"/>
      <c r="G391" s="382"/>
      <c r="H391" s="382"/>
      <c r="I391" s="382"/>
      <c r="J391" s="383"/>
      <c r="K391" s="47"/>
      <c r="L391" s="44"/>
      <c r="M391" s="47"/>
      <c r="N391" s="44"/>
      <c r="O391" s="70"/>
      <c r="P391" s="44"/>
      <c r="Q391" s="70"/>
      <c r="R391" s="44"/>
      <c r="S391" s="44"/>
      <c r="T391" s="50"/>
      <c r="U391" s="44"/>
      <c r="V391" s="15"/>
      <c r="X391" s="85"/>
    </row>
    <row r="392" spans="1:24" ht="27.95" customHeight="1" x14ac:dyDescent="0.25">
      <c r="A392" s="128" t="s">
        <v>303</v>
      </c>
      <c r="B392" s="145" t="s">
        <v>836</v>
      </c>
      <c r="C392" s="146"/>
      <c r="D392" s="146"/>
      <c r="E392" s="146"/>
      <c r="F392" s="146"/>
      <c r="G392" s="146"/>
      <c r="H392" s="146"/>
      <c r="I392" s="146"/>
      <c r="J392" s="143"/>
      <c r="K392" s="47"/>
      <c r="L392" s="44"/>
      <c r="M392" s="47"/>
      <c r="N392" s="44"/>
      <c r="O392" s="70"/>
      <c r="P392" s="44"/>
      <c r="Q392" s="70"/>
      <c r="R392" s="44"/>
      <c r="S392" s="44"/>
      <c r="T392" s="50"/>
      <c r="U392" s="44"/>
      <c r="V392" s="15"/>
      <c r="W392" s="192"/>
      <c r="X392" s="85"/>
    </row>
    <row r="393" spans="1:24" ht="14.1" customHeight="1" x14ac:dyDescent="0.25">
      <c r="A393" s="362" t="s">
        <v>304</v>
      </c>
      <c r="B393" s="356" t="s">
        <v>165</v>
      </c>
      <c r="C393" s="357"/>
      <c r="D393" s="357"/>
      <c r="E393" s="357"/>
      <c r="F393" s="357"/>
      <c r="G393" s="357"/>
      <c r="H393" s="357"/>
      <c r="I393" s="357"/>
      <c r="J393" s="358"/>
      <c r="K393" s="47"/>
      <c r="L393" s="44"/>
      <c r="M393" s="47"/>
      <c r="N393" s="44"/>
      <c r="O393" s="70"/>
      <c r="P393" s="44"/>
      <c r="Q393" s="70"/>
      <c r="R393" s="44"/>
      <c r="S393" s="44"/>
      <c r="T393" s="50"/>
      <c r="U393" s="44"/>
      <c r="V393" s="15"/>
      <c r="W393" s="228"/>
      <c r="X393" s="85"/>
    </row>
    <row r="394" spans="1:24" ht="14.1" customHeight="1" x14ac:dyDescent="0.25">
      <c r="A394" s="363"/>
      <c r="B394" s="88" t="s">
        <v>32</v>
      </c>
      <c r="C394" s="40"/>
      <c r="D394" s="76"/>
      <c r="E394" s="75">
        <v>16.170000000000002</v>
      </c>
      <c r="F394" s="47">
        <v>60.06</v>
      </c>
      <c r="G394" s="44">
        <v>66</v>
      </c>
      <c r="H394" s="53">
        <f t="shared" ref="H394:H424" si="123">J394*I394</f>
        <v>104.35658161068</v>
      </c>
      <c r="I394" s="70">
        <v>1.0620000000000001</v>
      </c>
      <c r="J394" s="44">
        <f>K394*L394</f>
        <v>98.264201139999997</v>
      </c>
      <c r="K394" s="70">
        <v>1.0640000000000001</v>
      </c>
      <c r="L394" s="44">
        <f>M394*N394</f>
        <v>92.353572499999999</v>
      </c>
      <c r="M394" s="47">
        <v>1.07</v>
      </c>
      <c r="N394" s="44">
        <f>O394*P394</f>
        <v>86.311749999999989</v>
      </c>
      <c r="O394" s="70">
        <v>1.075</v>
      </c>
      <c r="P394" s="44">
        <f t="shared" si="118"/>
        <v>80.289999999999992</v>
      </c>
      <c r="Q394" s="70">
        <v>1.085</v>
      </c>
      <c r="R394" s="44">
        <f t="shared" ref="R394:R408" si="124">S394</f>
        <v>74</v>
      </c>
      <c r="S394" s="44">
        <v>74</v>
      </c>
      <c r="T394" s="71" t="s">
        <v>437</v>
      </c>
      <c r="U394" s="44">
        <v>75</v>
      </c>
      <c r="V394" s="15">
        <f t="shared" ref="V394:V424" si="125">H394*107%</f>
        <v>111.6615423234276</v>
      </c>
      <c r="W394" s="260">
        <f t="shared" ref="W394:W424" si="126">V394</f>
        <v>111.6615423234276</v>
      </c>
      <c r="X394" s="132">
        <f>143*106.5%</f>
        <v>152.29499999999999</v>
      </c>
    </row>
    <row r="395" spans="1:24" ht="14.1" customHeight="1" x14ac:dyDescent="0.25">
      <c r="A395" s="363"/>
      <c r="B395" s="59" t="s">
        <v>312</v>
      </c>
      <c r="C395" s="89"/>
      <c r="D395" s="52"/>
      <c r="E395" s="52"/>
      <c r="F395" s="81"/>
      <c r="G395" s="53">
        <v>110</v>
      </c>
      <c r="H395" s="53">
        <f t="shared" si="123"/>
        <v>170.63711317422005</v>
      </c>
      <c r="I395" s="70">
        <v>1.0620000000000001</v>
      </c>
      <c r="J395" s="44">
        <f t="shared" ref="J395:J405" si="127">K395*L395</f>
        <v>160.67524781000003</v>
      </c>
      <c r="K395" s="70">
        <v>1.0640000000000001</v>
      </c>
      <c r="L395" s="44">
        <f t="shared" ref="L395:L405" si="128">M395*N395</f>
        <v>151.01057125000003</v>
      </c>
      <c r="M395" s="47">
        <v>1.07</v>
      </c>
      <c r="N395" s="44">
        <f t="shared" ref="N395:N438" si="129">O395*P395</f>
        <v>141.13137500000002</v>
      </c>
      <c r="O395" s="70">
        <v>1.075</v>
      </c>
      <c r="P395" s="44">
        <f t="shared" si="118"/>
        <v>131.28500000000003</v>
      </c>
      <c r="Q395" s="70">
        <v>1.085</v>
      </c>
      <c r="R395" s="44">
        <f t="shared" si="124"/>
        <v>121.00000000000001</v>
      </c>
      <c r="S395" s="44">
        <f t="shared" ref="S395:U405" si="130">G395*T395</f>
        <v>121.00000000000001</v>
      </c>
      <c r="T395" s="50">
        <v>1.1000000000000001</v>
      </c>
      <c r="U395" s="44">
        <f t="shared" si="130"/>
        <v>193.90177718439324</v>
      </c>
      <c r="V395" s="15">
        <f t="shared" si="125"/>
        <v>182.58171109641546</v>
      </c>
      <c r="W395" s="260">
        <f t="shared" si="126"/>
        <v>182.58171109641546</v>
      </c>
      <c r="X395" s="132">
        <f>235*106.5%</f>
        <v>250.27499999999998</v>
      </c>
    </row>
    <row r="396" spans="1:24" ht="14.1" customHeight="1" x14ac:dyDescent="0.25">
      <c r="A396" s="363"/>
      <c r="B396" s="165" t="s">
        <v>477</v>
      </c>
      <c r="C396" s="167"/>
      <c r="D396" s="168"/>
      <c r="E396" s="168"/>
      <c r="F396" s="169"/>
      <c r="G396" s="166"/>
      <c r="H396" s="166">
        <v>325</v>
      </c>
      <c r="I396" s="70"/>
      <c r="J396" s="44"/>
      <c r="K396" s="70"/>
      <c r="L396" s="44"/>
      <c r="M396" s="47"/>
      <c r="N396" s="44"/>
      <c r="O396" s="70"/>
      <c r="P396" s="44"/>
      <c r="Q396" s="70"/>
      <c r="R396" s="44"/>
      <c r="S396" s="44"/>
      <c r="T396" s="50"/>
      <c r="U396" s="44"/>
      <c r="V396" s="15">
        <f t="shared" si="125"/>
        <v>347.75</v>
      </c>
      <c r="W396" s="260">
        <f t="shared" si="126"/>
        <v>347.75</v>
      </c>
      <c r="X396" s="132">
        <f>447*106.5%</f>
        <v>476.05499999999995</v>
      </c>
    </row>
    <row r="397" spans="1:24" ht="14.1" customHeight="1" x14ac:dyDescent="0.25">
      <c r="A397" s="363"/>
      <c r="B397" s="59" t="s">
        <v>33</v>
      </c>
      <c r="C397" s="89">
        <v>105</v>
      </c>
      <c r="D397" s="52">
        <f t="shared" ref="D397:D405" si="131">C397*1.0582</f>
        <v>111.111</v>
      </c>
      <c r="E397" s="52">
        <v>520</v>
      </c>
      <c r="F397" s="52">
        <f t="shared" ref="F397:F404" si="132">E397*1.092</f>
        <v>567.84</v>
      </c>
      <c r="G397" s="53">
        <v>625</v>
      </c>
      <c r="H397" s="53">
        <f t="shared" si="123"/>
        <v>969.52905212625024</v>
      </c>
      <c r="I397" s="70">
        <v>1.0620000000000001</v>
      </c>
      <c r="J397" s="44">
        <f t="shared" si="127"/>
        <v>912.92754437500014</v>
      </c>
      <c r="K397" s="70">
        <v>1.0640000000000001</v>
      </c>
      <c r="L397" s="44">
        <f t="shared" si="128"/>
        <v>858.01460937500008</v>
      </c>
      <c r="M397" s="47">
        <v>1.07</v>
      </c>
      <c r="N397" s="44">
        <f t="shared" si="129"/>
        <v>801.8828125</v>
      </c>
      <c r="O397" s="70">
        <v>1.075</v>
      </c>
      <c r="P397" s="44">
        <f t="shared" si="118"/>
        <v>745.9375</v>
      </c>
      <c r="Q397" s="70">
        <v>1.085</v>
      </c>
      <c r="R397" s="44">
        <f t="shared" si="124"/>
        <v>687.5</v>
      </c>
      <c r="S397" s="44">
        <f t="shared" si="130"/>
        <v>687.5</v>
      </c>
      <c r="T397" s="50">
        <v>1.1000000000000001</v>
      </c>
      <c r="U397" s="44">
        <f t="shared" si="130"/>
        <v>1101.7146430931434</v>
      </c>
      <c r="V397" s="15">
        <f t="shared" si="125"/>
        <v>1037.3960857750878</v>
      </c>
      <c r="W397" s="260">
        <f t="shared" si="126"/>
        <v>1037.3960857750878</v>
      </c>
      <c r="X397" s="132">
        <f>1330*106.5%</f>
        <v>1416.4499999999998</v>
      </c>
    </row>
    <row r="398" spans="1:24" ht="14.1" customHeight="1" x14ac:dyDescent="0.25">
      <c r="A398" s="363"/>
      <c r="B398" s="59" t="s">
        <v>34</v>
      </c>
      <c r="C398" s="89">
        <v>737</v>
      </c>
      <c r="D398" s="52">
        <f t="shared" si="131"/>
        <v>779.89340000000004</v>
      </c>
      <c r="E398" s="52">
        <f t="shared" ref="E398:E403" si="133">ROUND(D398,0)</f>
        <v>780</v>
      </c>
      <c r="F398" s="52">
        <f t="shared" si="132"/>
        <v>851.7600000000001</v>
      </c>
      <c r="G398" s="53">
        <v>937</v>
      </c>
      <c r="H398" s="53">
        <f t="shared" si="123"/>
        <v>1453.5179549476741</v>
      </c>
      <c r="I398" s="70">
        <v>1.0620000000000001</v>
      </c>
      <c r="J398" s="44">
        <f t="shared" si="127"/>
        <v>1368.660974527</v>
      </c>
      <c r="K398" s="70">
        <v>1.0640000000000001</v>
      </c>
      <c r="L398" s="44">
        <f t="shared" si="128"/>
        <v>1286.335502375</v>
      </c>
      <c r="M398" s="47">
        <v>1.07</v>
      </c>
      <c r="N398" s="44">
        <f t="shared" si="129"/>
        <v>1202.1827125</v>
      </c>
      <c r="O398" s="70">
        <v>1.075</v>
      </c>
      <c r="P398" s="44">
        <f t="shared" si="118"/>
        <v>1118.3095000000001</v>
      </c>
      <c r="Q398" s="70">
        <v>1.085</v>
      </c>
      <c r="R398" s="44">
        <f t="shared" si="124"/>
        <v>1030.7</v>
      </c>
      <c r="S398" s="44">
        <f t="shared" si="130"/>
        <v>1030.7</v>
      </c>
      <c r="T398" s="50">
        <v>1.1000000000000001</v>
      </c>
      <c r="U398" s="44">
        <f t="shared" si="130"/>
        <v>1651.69059292524</v>
      </c>
      <c r="V398" s="15">
        <f t="shared" si="125"/>
        <v>1555.2642117940113</v>
      </c>
      <c r="W398" s="260">
        <f t="shared" si="126"/>
        <v>1555.2642117940113</v>
      </c>
      <c r="X398" s="132">
        <f>1995*106.5%</f>
        <v>2124.6749999999997</v>
      </c>
    </row>
    <row r="399" spans="1:24" ht="14.1" customHeight="1" x14ac:dyDescent="0.25">
      <c r="A399" s="363"/>
      <c r="B399" s="59" t="s">
        <v>35</v>
      </c>
      <c r="C399" s="89">
        <v>1225</v>
      </c>
      <c r="D399" s="52">
        <f t="shared" si="131"/>
        <v>1296.2950000000001</v>
      </c>
      <c r="E399" s="52">
        <f t="shared" si="133"/>
        <v>1296</v>
      </c>
      <c r="F399" s="52">
        <f t="shared" si="132"/>
        <v>1415.2320000000002</v>
      </c>
      <c r="G399" s="53">
        <v>1557</v>
      </c>
      <c r="H399" s="53">
        <f t="shared" si="123"/>
        <v>2415.290774656914</v>
      </c>
      <c r="I399" s="70">
        <v>1.0620000000000001</v>
      </c>
      <c r="J399" s="44">
        <f t="shared" si="127"/>
        <v>2274.285098547</v>
      </c>
      <c r="K399" s="70">
        <v>1.0640000000000001</v>
      </c>
      <c r="L399" s="44">
        <f t="shared" si="128"/>
        <v>2137.485994875</v>
      </c>
      <c r="M399" s="47">
        <v>1.07</v>
      </c>
      <c r="N399" s="44">
        <f t="shared" si="129"/>
        <v>1997.6504625</v>
      </c>
      <c r="O399" s="70">
        <v>1.075</v>
      </c>
      <c r="P399" s="44">
        <f t="shared" si="118"/>
        <v>1858.2795000000001</v>
      </c>
      <c r="Q399" s="70">
        <v>1.085</v>
      </c>
      <c r="R399" s="44">
        <f t="shared" si="124"/>
        <v>1712.7</v>
      </c>
      <c r="S399" s="44">
        <f t="shared" si="130"/>
        <v>1712.7</v>
      </c>
      <c r="T399" s="50">
        <v>1.1000000000000001</v>
      </c>
      <c r="U399" s="44">
        <f t="shared" si="130"/>
        <v>2744.5915188736376</v>
      </c>
      <c r="V399" s="15">
        <f t="shared" si="125"/>
        <v>2584.3611288828979</v>
      </c>
      <c r="W399" s="260">
        <f t="shared" si="126"/>
        <v>2584.3611288828979</v>
      </c>
      <c r="X399" s="132">
        <f>3313*106.5%</f>
        <v>3528.3449999999998</v>
      </c>
    </row>
    <row r="400" spans="1:24" ht="14.1" customHeight="1" x14ac:dyDescent="0.25">
      <c r="A400" s="363"/>
      <c r="B400" s="59" t="s">
        <v>543</v>
      </c>
      <c r="C400" s="89">
        <v>74</v>
      </c>
      <c r="D400" s="52">
        <f t="shared" si="131"/>
        <v>78.306799999999996</v>
      </c>
      <c r="E400" s="52">
        <f t="shared" si="133"/>
        <v>78</v>
      </c>
      <c r="F400" s="52">
        <f t="shared" si="132"/>
        <v>85.176000000000002</v>
      </c>
      <c r="G400" s="53">
        <v>94</v>
      </c>
      <c r="H400" s="53">
        <f t="shared" si="123"/>
        <v>676.49400000000003</v>
      </c>
      <c r="I400" s="70">
        <v>1.0620000000000001</v>
      </c>
      <c r="J400" s="44">
        <v>637</v>
      </c>
      <c r="K400" s="70">
        <v>1.0640000000000001</v>
      </c>
      <c r="L400" s="44">
        <f t="shared" si="128"/>
        <v>129.04539725000001</v>
      </c>
      <c r="M400" s="47">
        <v>1.07</v>
      </c>
      <c r="N400" s="44">
        <f t="shared" si="129"/>
        <v>120.60317500000001</v>
      </c>
      <c r="O400" s="70">
        <v>1.075</v>
      </c>
      <c r="P400" s="44">
        <f t="shared" si="118"/>
        <v>112.18900000000001</v>
      </c>
      <c r="Q400" s="70">
        <v>1.085</v>
      </c>
      <c r="R400" s="44">
        <f t="shared" si="124"/>
        <v>103.4</v>
      </c>
      <c r="S400" s="44">
        <f t="shared" si="130"/>
        <v>103.4</v>
      </c>
      <c r="T400" s="50">
        <v>1.1000000000000001</v>
      </c>
      <c r="U400" s="44">
        <f t="shared" si="130"/>
        <v>768.72719196000014</v>
      </c>
      <c r="V400" s="15">
        <f t="shared" si="125"/>
        <v>723.84858000000008</v>
      </c>
      <c r="W400" s="260">
        <f t="shared" si="126"/>
        <v>723.84858000000008</v>
      </c>
      <c r="X400" s="132">
        <f>928*106.5%</f>
        <v>988.31999999999994</v>
      </c>
    </row>
    <row r="401" spans="1:24" ht="14.1" customHeight="1" x14ac:dyDescent="0.25">
      <c r="A401" s="363"/>
      <c r="B401" s="59" t="s">
        <v>547</v>
      </c>
      <c r="C401" s="89">
        <v>107</v>
      </c>
      <c r="D401" s="52">
        <f t="shared" si="131"/>
        <v>113.2274</v>
      </c>
      <c r="E401" s="52">
        <f t="shared" si="133"/>
        <v>113</v>
      </c>
      <c r="F401" s="52">
        <f t="shared" si="132"/>
        <v>123.39600000000002</v>
      </c>
      <c r="G401" s="53">
        <v>135</v>
      </c>
      <c r="H401" s="53">
        <f t="shared" si="123"/>
        <v>952.61400000000003</v>
      </c>
      <c r="I401" s="70">
        <v>1.0620000000000001</v>
      </c>
      <c r="J401" s="44">
        <v>897</v>
      </c>
      <c r="K401" s="70">
        <v>1.0640000000000001</v>
      </c>
      <c r="L401" s="44">
        <f t="shared" si="128"/>
        <v>185.33115562500001</v>
      </c>
      <c r="M401" s="47">
        <v>1.07</v>
      </c>
      <c r="N401" s="44">
        <f t="shared" si="129"/>
        <v>173.20668749999999</v>
      </c>
      <c r="O401" s="70">
        <v>1.075</v>
      </c>
      <c r="P401" s="44">
        <f t="shared" si="118"/>
        <v>161.1225</v>
      </c>
      <c r="Q401" s="70">
        <v>1.085</v>
      </c>
      <c r="R401" s="44">
        <f t="shared" si="124"/>
        <v>148.5</v>
      </c>
      <c r="S401" s="44">
        <f t="shared" si="130"/>
        <v>148.5</v>
      </c>
      <c r="T401" s="50">
        <v>1.1000000000000001</v>
      </c>
      <c r="U401" s="44">
        <f t="shared" si="130"/>
        <v>1082.4933927600002</v>
      </c>
      <c r="V401" s="15">
        <f t="shared" si="125"/>
        <v>1019.2969800000001</v>
      </c>
      <c r="W401" s="260">
        <f t="shared" si="126"/>
        <v>1019.2969800000001</v>
      </c>
      <c r="X401" s="132">
        <f>1306*106.5%</f>
        <v>1390.8899999999999</v>
      </c>
    </row>
    <row r="402" spans="1:24" ht="14.1" customHeight="1" x14ac:dyDescent="0.25">
      <c r="A402" s="363"/>
      <c r="B402" s="59" t="s">
        <v>315</v>
      </c>
      <c r="C402" s="89">
        <v>755</v>
      </c>
      <c r="D402" s="52">
        <f t="shared" si="131"/>
        <v>798.94100000000003</v>
      </c>
      <c r="E402" s="52">
        <f t="shared" si="133"/>
        <v>799</v>
      </c>
      <c r="F402" s="52">
        <f t="shared" si="132"/>
        <v>872.50800000000004</v>
      </c>
      <c r="G402" s="53">
        <v>960</v>
      </c>
      <c r="H402" s="53">
        <f t="shared" si="123"/>
        <v>1489.1966240659203</v>
      </c>
      <c r="I402" s="70">
        <v>1.0620000000000001</v>
      </c>
      <c r="J402" s="44">
        <f t="shared" si="127"/>
        <v>1402.2567081600002</v>
      </c>
      <c r="K402" s="70">
        <v>1.0640000000000001</v>
      </c>
      <c r="L402" s="44">
        <f t="shared" si="128"/>
        <v>1317.9104400000001</v>
      </c>
      <c r="M402" s="47">
        <v>1.07</v>
      </c>
      <c r="N402" s="44">
        <f t="shared" si="129"/>
        <v>1231.692</v>
      </c>
      <c r="O402" s="70">
        <v>1.075</v>
      </c>
      <c r="P402" s="44">
        <f t="shared" si="118"/>
        <v>1145.76</v>
      </c>
      <c r="Q402" s="70">
        <v>1.085</v>
      </c>
      <c r="R402" s="44">
        <f t="shared" si="124"/>
        <v>1056</v>
      </c>
      <c r="S402" s="44">
        <f t="shared" si="130"/>
        <v>1056</v>
      </c>
      <c r="T402" s="50">
        <v>1.1000000000000001</v>
      </c>
      <c r="U402" s="44">
        <f t="shared" si="130"/>
        <v>1692.2336917910682</v>
      </c>
      <c r="V402" s="15">
        <f t="shared" si="125"/>
        <v>1593.4403877505349</v>
      </c>
      <c r="W402" s="260">
        <f t="shared" si="126"/>
        <v>1593.4403877505349</v>
      </c>
      <c r="X402" s="132">
        <f>2044*106.5%</f>
        <v>2176.8599999999997</v>
      </c>
    </row>
    <row r="403" spans="1:24" ht="14.1" customHeight="1" x14ac:dyDescent="0.25">
      <c r="A403" s="363"/>
      <c r="B403" s="59" t="s">
        <v>316</v>
      </c>
      <c r="C403" s="89">
        <v>1258</v>
      </c>
      <c r="D403" s="52">
        <f t="shared" si="131"/>
        <v>1331.2156</v>
      </c>
      <c r="E403" s="52">
        <f t="shared" si="133"/>
        <v>1331</v>
      </c>
      <c r="F403" s="52">
        <f t="shared" si="132"/>
        <v>1453.452</v>
      </c>
      <c r="G403" s="53">
        <v>1598</v>
      </c>
      <c r="H403" s="53">
        <f t="shared" si="123"/>
        <v>2478.8918804763966</v>
      </c>
      <c r="I403" s="70">
        <v>1.0620000000000001</v>
      </c>
      <c r="J403" s="44">
        <f t="shared" si="127"/>
        <v>2334.1731454580004</v>
      </c>
      <c r="K403" s="70">
        <v>1.0640000000000001</v>
      </c>
      <c r="L403" s="44">
        <f t="shared" si="128"/>
        <v>2193.7717532500001</v>
      </c>
      <c r="M403" s="47">
        <v>1.07</v>
      </c>
      <c r="N403" s="44">
        <f t="shared" si="129"/>
        <v>2050.2539750000001</v>
      </c>
      <c r="O403" s="70">
        <v>1.075</v>
      </c>
      <c r="P403" s="44">
        <f t="shared" si="118"/>
        <v>1907.2130000000002</v>
      </c>
      <c r="Q403" s="70">
        <v>1.085</v>
      </c>
      <c r="R403" s="44">
        <f t="shared" si="124"/>
        <v>1757.8000000000002</v>
      </c>
      <c r="S403" s="44">
        <f t="shared" si="130"/>
        <v>1757.8000000000002</v>
      </c>
      <c r="T403" s="50">
        <v>1.1000000000000001</v>
      </c>
      <c r="U403" s="44">
        <f t="shared" si="130"/>
        <v>2816.8639994605487</v>
      </c>
      <c r="V403" s="15">
        <f t="shared" si="125"/>
        <v>2652.4143121097445</v>
      </c>
      <c r="W403" s="260">
        <f t="shared" si="126"/>
        <v>2652.4143121097445</v>
      </c>
      <c r="X403" s="132">
        <f>3401*106.5%</f>
        <v>3622.0649999999996</v>
      </c>
    </row>
    <row r="404" spans="1:24" ht="14.1" customHeight="1" x14ac:dyDescent="0.25">
      <c r="A404" s="363"/>
      <c r="B404" s="59" t="s">
        <v>305</v>
      </c>
      <c r="C404" s="89">
        <v>1832</v>
      </c>
      <c r="D404" s="52">
        <f t="shared" si="131"/>
        <v>1938.6224</v>
      </c>
      <c r="E404" s="52">
        <v>6210</v>
      </c>
      <c r="F404" s="52">
        <f t="shared" si="132"/>
        <v>6781.3200000000006</v>
      </c>
      <c r="G404" s="53">
        <v>7459</v>
      </c>
      <c r="H404" s="53">
        <f t="shared" si="123"/>
        <v>10518.861381541381</v>
      </c>
      <c r="I404" s="70">
        <v>1.0620000000000001</v>
      </c>
      <c r="J404" s="44">
        <f t="shared" si="127"/>
        <v>9904.76589599</v>
      </c>
      <c r="K404" s="70">
        <v>1.0640000000000001</v>
      </c>
      <c r="L404" s="44">
        <f t="shared" si="128"/>
        <v>9308.9905037499993</v>
      </c>
      <c r="M404" s="47">
        <v>1.07</v>
      </c>
      <c r="N404" s="44">
        <f t="shared" si="129"/>
        <v>8699.9911249999986</v>
      </c>
      <c r="O404" s="70">
        <v>1.075</v>
      </c>
      <c r="P404" s="44">
        <f t="shared" si="118"/>
        <v>8093.0149999999994</v>
      </c>
      <c r="Q404" s="70">
        <v>1.085</v>
      </c>
      <c r="R404" s="44">
        <f t="shared" si="124"/>
        <v>7459</v>
      </c>
      <c r="S404" s="44">
        <f t="shared" si="130"/>
        <v>7459</v>
      </c>
      <c r="T404" s="50">
        <v>1</v>
      </c>
      <c r="U404" s="44">
        <f t="shared" si="130"/>
        <v>11953.002942300735</v>
      </c>
      <c r="V404" s="15">
        <f t="shared" si="125"/>
        <v>11255.181678249279</v>
      </c>
      <c r="W404" s="260">
        <f t="shared" si="126"/>
        <v>11255.181678249279</v>
      </c>
      <c r="X404" s="132">
        <f>14433*106.5%</f>
        <v>15371.144999999999</v>
      </c>
    </row>
    <row r="405" spans="1:24" ht="14.1" customHeight="1" x14ac:dyDescent="0.25">
      <c r="A405" s="363"/>
      <c r="B405" s="59" t="s">
        <v>306</v>
      </c>
      <c r="C405" s="89">
        <v>74</v>
      </c>
      <c r="D405" s="52">
        <f t="shared" si="131"/>
        <v>78.306799999999996</v>
      </c>
      <c r="E405" s="52">
        <f>ROUND(D405,0)</f>
        <v>78</v>
      </c>
      <c r="F405" s="52">
        <v>4215.12</v>
      </c>
      <c r="G405" s="53">
        <v>4637</v>
      </c>
      <c r="H405" s="53">
        <f t="shared" si="123"/>
        <v>6539.2090395773394</v>
      </c>
      <c r="I405" s="70">
        <v>1.0620000000000001</v>
      </c>
      <c r="J405" s="44">
        <f t="shared" si="127"/>
        <v>6157.4473065699995</v>
      </c>
      <c r="K405" s="70">
        <v>1.0640000000000001</v>
      </c>
      <c r="L405" s="44">
        <f t="shared" si="128"/>
        <v>5787.0745362499993</v>
      </c>
      <c r="M405" s="47">
        <v>1.07</v>
      </c>
      <c r="N405" s="44">
        <f t="shared" si="129"/>
        <v>5408.4808749999993</v>
      </c>
      <c r="O405" s="70">
        <v>1.075</v>
      </c>
      <c r="P405" s="44">
        <f t="shared" si="118"/>
        <v>5031.1449999999995</v>
      </c>
      <c r="Q405" s="70">
        <v>1.085</v>
      </c>
      <c r="R405" s="44">
        <f t="shared" si="124"/>
        <v>4637</v>
      </c>
      <c r="S405" s="44">
        <f t="shared" si="130"/>
        <v>4637</v>
      </c>
      <c r="T405" s="50">
        <v>1</v>
      </c>
      <c r="U405" s="44">
        <f t="shared" si="130"/>
        <v>7430.7648000333138</v>
      </c>
      <c r="V405" s="15">
        <f t="shared" si="125"/>
        <v>6996.9536723477531</v>
      </c>
      <c r="W405" s="260">
        <f t="shared" si="126"/>
        <v>6996.9536723477531</v>
      </c>
      <c r="X405" s="132">
        <f>8973*106.5%</f>
        <v>9556.244999999999</v>
      </c>
    </row>
    <row r="406" spans="1:24" ht="14.1" customHeight="1" x14ac:dyDescent="0.25">
      <c r="A406" s="363"/>
      <c r="B406" s="59" t="s">
        <v>164</v>
      </c>
      <c r="C406" s="89"/>
      <c r="D406" s="52"/>
      <c r="E406" s="52"/>
      <c r="F406" s="52"/>
      <c r="G406" s="53" t="s">
        <v>623</v>
      </c>
      <c r="H406" s="53">
        <f t="shared" si="123"/>
        <v>22599.360000000001</v>
      </c>
      <c r="I406" s="70">
        <v>1.0620000000000001</v>
      </c>
      <c r="J406" s="53">
        <v>21280</v>
      </c>
      <c r="K406" s="47"/>
      <c r="L406" s="53" t="s">
        <v>623</v>
      </c>
      <c r="M406" s="47"/>
      <c r="N406" s="44"/>
      <c r="O406" s="70">
        <v>1.075</v>
      </c>
      <c r="P406" s="53" t="s">
        <v>623</v>
      </c>
      <c r="Q406" s="70">
        <v>1.085</v>
      </c>
      <c r="R406" s="44" t="str">
        <f t="shared" si="124"/>
        <v>договорная</v>
      </c>
      <c r="S406" s="53" t="s">
        <v>623</v>
      </c>
      <c r="T406" s="50"/>
      <c r="U406" s="53" t="s">
        <v>623</v>
      </c>
      <c r="V406" s="15">
        <f t="shared" si="125"/>
        <v>24181.315200000001</v>
      </c>
      <c r="W406" s="260">
        <f t="shared" si="126"/>
        <v>24181.315200000001</v>
      </c>
      <c r="X406" s="132">
        <f>31009*106.5%</f>
        <v>33024.584999999999</v>
      </c>
    </row>
    <row r="407" spans="1:24" ht="14.1" customHeight="1" x14ac:dyDescent="0.25">
      <c r="A407" s="363"/>
      <c r="B407" s="128" t="s">
        <v>153</v>
      </c>
      <c r="C407" s="128"/>
      <c r="D407" s="128"/>
      <c r="E407" s="128"/>
      <c r="F407" s="128"/>
      <c r="G407" s="49" t="s">
        <v>154</v>
      </c>
      <c r="H407" s="53">
        <f t="shared" si="123"/>
        <v>2415.290774656914</v>
      </c>
      <c r="I407" s="70">
        <v>1.0620000000000001</v>
      </c>
      <c r="J407" s="44">
        <f>K407*L407</f>
        <v>2274.285098547</v>
      </c>
      <c r="K407" s="70">
        <v>1.0640000000000001</v>
      </c>
      <c r="L407" s="44">
        <f>M407*N407</f>
        <v>2137.485994875</v>
      </c>
      <c r="M407" s="47">
        <v>1.07</v>
      </c>
      <c r="N407" s="44">
        <f t="shared" si="129"/>
        <v>1997.6504625</v>
      </c>
      <c r="O407" s="70">
        <v>1.075</v>
      </c>
      <c r="P407" s="44">
        <f t="shared" si="118"/>
        <v>1858.2795000000001</v>
      </c>
      <c r="Q407" s="70">
        <v>1.085</v>
      </c>
      <c r="R407" s="44">
        <f t="shared" si="124"/>
        <v>1712.7</v>
      </c>
      <c r="S407" s="44">
        <f>G407*T407</f>
        <v>1712.7</v>
      </c>
      <c r="T407" s="90" t="s">
        <v>155</v>
      </c>
      <c r="U407" s="44">
        <f>I407*V407</f>
        <v>2744.5915188736376</v>
      </c>
      <c r="V407" s="15">
        <f t="shared" si="125"/>
        <v>2584.3611288828979</v>
      </c>
      <c r="W407" s="260">
        <f t="shared" si="126"/>
        <v>2584.3611288828979</v>
      </c>
      <c r="X407" s="132">
        <f>3313*106.5%</f>
        <v>3528.3449999999998</v>
      </c>
    </row>
    <row r="408" spans="1:24" ht="14.1" customHeight="1" x14ac:dyDescent="0.25">
      <c r="A408" s="363"/>
      <c r="B408" s="59" t="s">
        <v>158</v>
      </c>
      <c r="C408" s="284"/>
      <c r="D408" s="284"/>
      <c r="E408" s="284"/>
      <c r="F408" s="284"/>
      <c r="G408" s="44">
        <v>1200</v>
      </c>
      <c r="H408" s="53">
        <f t="shared" si="123"/>
        <v>1861.4957800824002</v>
      </c>
      <c r="I408" s="70">
        <v>1.0620000000000001</v>
      </c>
      <c r="J408" s="44">
        <f>K408*L408</f>
        <v>1752.8208852</v>
      </c>
      <c r="K408" s="70">
        <v>1.0640000000000001</v>
      </c>
      <c r="L408" s="44">
        <f t="shared" ref="L408:L424" si="134">M408*N408</f>
        <v>1647.38805</v>
      </c>
      <c r="M408" s="47">
        <v>1.07</v>
      </c>
      <c r="N408" s="44">
        <f t="shared" si="129"/>
        <v>1539.615</v>
      </c>
      <c r="O408" s="70">
        <v>1.075</v>
      </c>
      <c r="P408" s="44">
        <f t="shared" si="118"/>
        <v>1432.2</v>
      </c>
      <c r="Q408" s="70">
        <v>1.085</v>
      </c>
      <c r="R408" s="44">
        <f t="shared" si="124"/>
        <v>1320</v>
      </c>
      <c r="S408" s="44">
        <f>G408*T408</f>
        <v>1320</v>
      </c>
      <c r="T408" s="91">
        <v>1.1000000000000001</v>
      </c>
      <c r="U408" s="44">
        <f>I408*V408</f>
        <v>2115.2921147388347</v>
      </c>
      <c r="V408" s="15">
        <f t="shared" si="125"/>
        <v>1991.8004846881684</v>
      </c>
      <c r="W408" s="260">
        <f t="shared" si="126"/>
        <v>1991.8004846881684</v>
      </c>
      <c r="X408" s="132">
        <f>2556*106.5%</f>
        <v>2722.14</v>
      </c>
    </row>
    <row r="409" spans="1:24" ht="14.1" customHeight="1" x14ac:dyDescent="0.25">
      <c r="A409" s="362" t="s">
        <v>346</v>
      </c>
      <c r="B409" s="345" t="s">
        <v>91</v>
      </c>
      <c r="C409" s="346"/>
      <c r="D409" s="346"/>
      <c r="E409" s="346"/>
      <c r="F409" s="346"/>
      <c r="G409" s="346"/>
      <c r="H409" s="346"/>
      <c r="I409" s="346"/>
      <c r="J409" s="347"/>
      <c r="K409" s="47"/>
      <c r="L409" s="44"/>
      <c r="M409" s="47"/>
      <c r="N409" s="44"/>
      <c r="O409" s="70"/>
      <c r="P409" s="44"/>
      <c r="Q409" s="70"/>
      <c r="R409" s="44"/>
      <c r="S409" s="44"/>
      <c r="T409" s="50"/>
      <c r="U409" s="44"/>
      <c r="V409" s="15"/>
      <c r="W409" s="264"/>
      <c r="X409" s="132"/>
    </row>
    <row r="410" spans="1:24" ht="14.1" customHeight="1" x14ac:dyDescent="0.25">
      <c r="A410" s="362"/>
      <c r="B410" s="104" t="s">
        <v>516</v>
      </c>
      <c r="C410" s="40"/>
      <c r="D410" s="47"/>
      <c r="E410" s="47"/>
      <c r="F410" s="47"/>
      <c r="G410" s="44"/>
      <c r="H410" s="53">
        <f t="shared" si="123"/>
        <v>1327.0403515320002</v>
      </c>
      <c r="I410" s="70">
        <v>1.0620000000000001</v>
      </c>
      <c r="J410" s="44">
        <f t="shared" ref="J410:J424" si="135">K410*L410</f>
        <v>1249.567186</v>
      </c>
      <c r="K410" s="70">
        <v>1.0640000000000001</v>
      </c>
      <c r="L410" s="44">
        <f t="shared" si="134"/>
        <v>1174.40525</v>
      </c>
      <c r="M410" s="47">
        <v>1.07</v>
      </c>
      <c r="N410" s="44">
        <f t="shared" si="129"/>
        <v>1097.575</v>
      </c>
      <c r="O410" s="70">
        <v>1.075</v>
      </c>
      <c r="P410" s="44">
        <v>1021</v>
      </c>
      <c r="Q410" s="113" t="s">
        <v>258</v>
      </c>
      <c r="R410" s="44">
        <v>941</v>
      </c>
      <c r="S410" s="44"/>
      <c r="T410" s="50"/>
      <c r="U410" s="44"/>
      <c r="V410" s="15">
        <f t="shared" si="125"/>
        <v>1419.9331761392402</v>
      </c>
      <c r="W410" s="260">
        <f t="shared" si="126"/>
        <v>1419.9331761392402</v>
      </c>
      <c r="X410" s="132">
        <f>1820*106.5%</f>
        <v>1938.3</v>
      </c>
    </row>
    <row r="411" spans="1:24" ht="14.1" customHeight="1" x14ac:dyDescent="0.25">
      <c r="A411" s="363"/>
      <c r="B411" s="59" t="s">
        <v>312</v>
      </c>
      <c r="C411" s="40"/>
      <c r="D411" s="47"/>
      <c r="E411" s="47"/>
      <c r="F411" s="47"/>
      <c r="G411" s="44">
        <v>220</v>
      </c>
      <c r="H411" s="53">
        <f t="shared" si="123"/>
        <v>341.2742263484401</v>
      </c>
      <c r="I411" s="70">
        <v>1.0620000000000001</v>
      </c>
      <c r="J411" s="44">
        <f t="shared" si="135"/>
        <v>321.35049562000006</v>
      </c>
      <c r="K411" s="70">
        <v>1.0640000000000001</v>
      </c>
      <c r="L411" s="44">
        <f t="shared" si="134"/>
        <v>302.02114250000005</v>
      </c>
      <c r="M411" s="47">
        <v>1.07</v>
      </c>
      <c r="N411" s="44">
        <f t="shared" si="129"/>
        <v>282.26275000000004</v>
      </c>
      <c r="O411" s="70">
        <v>1.075</v>
      </c>
      <c r="P411" s="44">
        <f t="shared" si="118"/>
        <v>262.57000000000005</v>
      </c>
      <c r="Q411" s="70">
        <v>1.085</v>
      </c>
      <c r="R411" s="44">
        <f t="shared" ref="R411:R426" si="136">S411</f>
        <v>242.00000000000003</v>
      </c>
      <c r="S411" s="44">
        <f t="shared" ref="S411:U424" si="137">G411*T411</f>
        <v>242.00000000000003</v>
      </c>
      <c r="T411" s="50">
        <v>1.1000000000000001</v>
      </c>
      <c r="U411" s="44">
        <f t="shared" si="137"/>
        <v>387.80355436878648</v>
      </c>
      <c r="V411" s="15">
        <f t="shared" si="125"/>
        <v>365.16342219283092</v>
      </c>
      <c r="W411" s="260">
        <f t="shared" si="126"/>
        <v>365.16342219283092</v>
      </c>
      <c r="X411" s="132">
        <f>468*106.5%</f>
        <v>498.41999999999996</v>
      </c>
    </row>
    <row r="412" spans="1:24" ht="14.1" customHeight="1" x14ac:dyDescent="0.25">
      <c r="A412" s="363"/>
      <c r="B412" s="59" t="s">
        <v>477</v>
      </c>
      <c r="C412" s="40"/>
      <c r="D412" s="47"/>
      <c r="E412" s="47"/>
      <c r="F412" s="47"/>
      <c r="G412" s="44"/>
      <c r="H412" s="53">
        <f t="shared" si="123"/>
        <v>374.81038560000013</v>
      </c>
      <c r="I412" s="70">
        <v>1.0620000000000001</v>
      </c>
      <c r="J412" s="44">
        <f t="shared" si="135"/>
        <v>352.92880000000008</v>
      </c>
      <c r="K412" s="70">
        <v>1.0640000000000001</v>
      </c>
      <c r="L412" s="44">
        <f t="shared" si="134"/>
        <v>331.70000000000005</v>
      </c>
      <c r="M412" s="47">
        <v>1.07</v>
      </c>
      <c r="N412" s="44">
        <v>310</v>
      </c>
      <c r="O412" s="113" t="s">
        <v>159</v>
      </c>
      <c r="P412" s="44"/>
      <c r="Q412" s="70"/>
      <c r="R412" s="44"/>
      <c r="S412" s="44"/>
      <c r="T412" s="50"/>
      <c r="U412" s="44"/>
      <c r="V412" s="15">
        <f t="shared" si="125"/>
        <v>401.04711259200019</v>
      </c>
      <c r="W412" s="260">
        <f t="shared" si="126"/>
        <v>401.04711259200019</v>
      </c>
      <c r="X412" s="132">
        <f>513*106.5%</f>
        <v>546.34500000000003</v>
      </c>
    </row>
    <row r="413" spans="1:24" s="17" customFormat="1" ht="14.1" customHeight="1" x14ac:dyDescent="0.25">
      <c r="A413" s="363"/>
      <c r="B413" s="59" t="s">
        <v>33</v>
      </c>
      <c r="C413" s="89">
        <v>561</v>
      </c>
      <c r="D413" s="52">
        <f t="shared" ref="D413:D420" si="138">C413*1.0582</f>
        <v>593.65020000000004</v>
      </c>
      <c r="E413" s="52">
        <f t="shared" ref="E413:E419" si="139">ROUND(D413,0)</f>
        <v>594</v>
      </c>
      <c r="F413" s="52">
        <f t="shared" ref="F413:F471" si="140">E413*1.092</f>
        <v>648.64800000000002</v>
      </c>
      <c r="G413" s="53">
        <v>714</v>
      </c>
      <c r="H413" s="53">
        <f t="shared" si="123"/>
        <v>1107.5899891490285</v>
      </c>
      <c r="I413" s="70">
        <v>1.0620000000000001</v>
      </c>
      <c r="J413" s="44">
        <f t="shared" si="135"/>
        <v>1042.9284266940003</v>
      </c>
      <c r="K413" s="70">
        <v>1.0640000000000001</v>
      </c>
      <c r="L413" s="44">
        <f t="shared" si="134"/>
        <v>980.19588975000022</v>
      </c>
      <c r="M413" s="47">
        <v>1.07</v>
      </c>
      <c r="N413" s="44">
        <f t="shared" si="129"/>
        <v>916.0709250000001</v>
      </c>
      <c r="O413" s="70">
        <v>1.075</v>
      </c>
      <c r="P413" s="44">
        <f t="shared" si="118"/>
        <v>852.15900000000011</v>
      </c>
      <c r="Q413" s="70">
        <v>1.085</v>
      </c>
      <c r="R413" s="44">
        <f t="shared" si="136"/>
        <v>785.40000000000009</v>
      </c>
      <c r="S413" s="44">
        <f t="shared" si="137"/>
        <v>785.40000000000009</v>
      </c>
      <c r="T413" s="50">
        <v>1.1000000000000001</v>
      </c>
      <c r="U413" s="44">
        <f t="shared" si="137"/>
        <v>1258.5988082696072</v>
      </c>
      <c r="V413" s="15">
        <f t="shared" si="125"/>
        <v>1185.1212883894605</v>
      </c>
      <c r="W413" s="260">
        <f t="shared" si="126"/>
        <v>1185.1212883894605</v>
      </c>
      <c r="X413" s="132">
        <f>1519*106.5%</f>
        <v>1617.7349999999999</v>
      </c>
    </row>
    <row r="414" spans="1:24" s="17" customFormat="1" ht="14.1" customHeight="1" x14ac:dyDescent="0.25">
      <c r="A414" s="363"/>
      <c r="B414" s="59" t="s">
        <v>34</v>
      </c>
      <c r="C414" s="89">
        <v>857</v>
      </c>
      <c r="D414" s="52">
        <f t="shared" si="138"/>
        <v>906.87740000000008</v>
      </c>
      <c r="E414" s="52">
        <f t="shared" si="139"/>
        <v>907</v>
      </c>
      <c r="F414" s="52">
        <f t="shared" si="140"/>
        <v>990.44400000000007</v>
      </c>
      <c r="G414" s="53">
        <v>1089</v>
      </c>
      <c r="H414" s="53">
        <f t="shared" si="123"/>
        <v>1689.3074204247782</v>
      </c>
      <c r="I414" s="70">
        <v>1.0620000000000001</v>
      </c>
      <c r="J414" s="44">
        <f t="shared" si="135"/>
        <v>1590.6849533190002</v>
      </c>
      <c r="K414" s="70">
        <v>1.0640000000000001</v>
      </c>
      <c r="L414" s="44">
        <f t="shared" si="134"/>
        <v>1495.0046553750001</v>
      </c>
      <c r="M414" s="47">
        <v>1.07</v>
      </c>
      <c r="N414" s="44">
        <f t="shared" si="129"/>
        <v>1397.2006125</v>
      </c>
      <c r="O414" s="70">
        <v>1.075</v>
      </c>
      <c r="P414" s="44">
        <f t="shared" si="118"/>
        <v>1299.7215000000001</v>
      </c>
      <c r="Q414" s="70">
        <v>1.085</v>
      </c>
      <c r="R414" s="44">
        <f t="shared" si="136"/>
        <v>1197.9000000000001</v>
      </c>
      <c r="S414" s="44">
        <f t="shared" si="137"/>
        <v>1197.9000000000001</v>
      </c>
      <c r="T414" s="50">
        <v>1.1000000000000001</v>
      </c>
      <c r="U414" s="44">
        <f t="shared" si="137"/>
        <v>1919.6275941254928</v>
      </c>
      <c r="V414" s="15">
        <f t="shared" si="125"/>
        <v>1807.5589398545128</v>
      </c>
      <c r="W414" s="260">
        <f t="shared" si="126"/>
        <v>1807.5589398545128</v>
      </c>
      <c r="X414" s="132">
        <f>2319*106.5%</f>
        <v>2469.7349999999997</v>
      </c>
    </row>
    <row r="415" spans="1:24" s="17" customFormat="1" ht="14.1" customHeight="1" x14ac:dyDescent="0.25">
      <c r="A415" s="363"/>
      <c r="B415" s="59" t="s">
        <v>35</v>
      </c>
      <c r="C415" s="89">
        <v>1225</v>
      </c>
      <c r="D415" s="52">
        <f t="shared" si="138"/>
        <v>1296.2950000000001</v>
      </c>
      <c r="E415" s="52">
        <f t="shared" si="139"/>
        <v>1296</v>
      </c>
      <c r="F415" s="52">
        <f t="shared" si="140"/>
        <v>1415.2320000000002</v>
      </c>
      <c r="G415" s="53">
        <v>1557</v>
      </c>
      <c r="H415" s="53">
        <f t="shared" si="123"/>
        <v>2415.290774656914</v>
      </c>
      <c r="I415" s="70">
        <v>1.0620000000000001</v>
      </c>
      <c r="J415" s="44">
        <f t="shared" si="135"/>
        <v>2274.285098547</v>
      </c>
      <c r="K415" s="70">
        <v>1.0640000000000001</v>
      </c>
      <c r="L415" s="44">
        <f t="shared" si="134"/>
        <v>2137.485994875</v>
      </c>
      <c r="M415" s="47">
        <v>1.07</v>
      </c>
      <c r="N415" s="44">
        <f t="shared" si="129"/>
        <v>1997.6504625</v>
      </c>
      <c r="O415" s="70">
        <v>1.075</v>
      </c>
      <c r="P415" s="44">
        <f t="shared" si="118"/>
        <v>1858.2795000000001</v>
      </c>
      <c r="Q415" s="70">
        <v>1.085</v>
      </c>
      <c r="R415" s="44">
        <f t="shared" si="136"/>
        <v>1712.7</v>
      </c>
      <c r="S415" s="44">
        <f t="shared" si="137"/>
        <v>1712.7</v>
      </c>
      <c r="T415" s="50">
        <v>1.1000000000000001</v>
      </c>
      <c r="U415" s="44">
        <f t="shared" si="137"/>
        <v>2744.5915188736376</v>
      </c>
      <c r="V415" s="15">
        <f t="shared" si="125"/>
        <v>2584.3611288828979</v>
      </c>
      <c r="W415" s="260">
        <f t="shared" si="126"/>
        <v>2584.3611288828979</v>
      </c>
      <c r="X415" s="132">
        <f>3313*106.5%</f>
        <v>3528.3449999999998</v>
      </c>
    </row>
    <row r="416" spans="1:24" s="17" customFormat="1" ht="14.1" customHeight="1" x14ac:dyDescent="0.25">
      <c r="A416" s="363"/>
      <c r="B416" s="59" t="s">
        <v>545</v>
      </c>
      <c r="C416" s="89">
        <v>397</v>
      </c>
      <c r="D416" s="52">
        <f t="shared" si="138"/>
        <v>420.10540000000003</v>
      </c>
      <c r="E416" s="52">
        <f t="shared" si="139"/>
        <v>420</v>
      </c>
      <c r="F416" s="52">
        <f t="shared" si="140"/>
        <v>458.64000000000004</v>
      </c>
      <c r="G416" s="53">
        <v>505</v>
      </c>
      <c r="H416" s="53">
        <f t="shared" si="123"/>
        <v>783.37947411801008</v>
      </c>
      <c r="I416" s="70">
        <v>1.0620000000000001</v>
      </c>
      <c r="J416" s="44">
        <f t="shared" si="135"/>
        <v>737.64545585500002</v>
      </c>
      <c r="K416" s="70">
        <v>1.0640000000000001</v>
      </c>
      <c r="L416" s="44">
        <f t="shared" si="134"/>
        <v>693.27580437500001</v>
      </c>
      <c r="M416" s="47">
        <v>1.07</v>
      </c>
      <c r="N416" s="44">
        <f t="shared" si="129"/>
        <v>647.9213125</v>
      </c>
      <c r="O416" s="70">
        <v>1.075</v>
      </c>
      <c r="P416" s="44">
        <f t="shared" si="118"/>
        <v>602.71749999999997</v>
      </c>
      <c r="Q416" s="70">
        <v>1.085</v>
      </c>
      <c r="R416" s="44">
        <f t="shared" si="136"/>
        <v>555.5</v>
      </c>
      <c r="S416" s="44">
        <f t="shared" si="137"/>
        <v>555.5</v>
      </c>
      <c r="T416" s="50">
        <v>1.1000000000000001</v>
      </c>
      <c r="U416" s="44">
        <f t="shared" si="137"/>
        <v>890.18543161925959</v>
      </c>
      <c r="V416" s="15">
        <f t="shared" si="125"/>
        <v>838.21603730627078</v>
      </c>
      <c r="W416" s="260">
        <f t="shared" si="126"/>
        <v>838.21603730627078</v>
      </c>
      <c r="X416" s="132">
        <f>1074*106.5%</f>
        <v>1143.81</v>
      </c>
    </row>
    <row r="417" spans="1:24" s="17" customFormat="1" ht="14.1" customHeight="1" x14ac:dyDescent="0.25">
      <c r="A417" s="363"/>
      <c r="B417" s="59" t="s">
        <v>544</v>
      </c>
      <c r="C417" s="89">
        <v>584</v>
      </c>
      <c r="D417" s="52">
        <f t="shared" si="138"/>
        <v>617.98879999999997</v>
      </c>
      <c r="E417" s="52">
        <f t="shared" si="139"/>
        <v>618</v>
      </c>
      <c r="F417" s="52">
        <f t="shared" si="140"/>
        <v>674.85599999999999</v>
      </c>
      <c r="G417" s="53">
        <v>743</v>
      </c>
      <c r="H417" s="53">
        <f t="shared" si="123"/>
        <v>1152.5761371676861</v>
      </c>
      <c r="I417" s="70">
        <v>1.0620000000000001</v>
      </c>
      <c r="J417" s="44">
        <f t="shared" si="135"/>
        <v>1085.288264753</v>
      </c>
      <c r="K417" s="70">
        <v>1.0640000000000001</v>
      </c>
      <c r="L417" s="44">
        <f t="shared" si="134"/>
        <v>1020.007767625</v>
      </c>
      <c r="M417" s="47">
        <v>1.07</v>
      </c>
      <c r="N417" s="44">
        <f t="shared" si="129"/>
        <v>953.27828750000003</v>
      </c>
      <c r="O417" s="70">
        <v>1.075</v>
      </c>
      <c r="P417" s="44">
        <f t="shared" si="118"/>
        <v>886.77050000000008</v>
      </c>
      <c r="Q417" s="70">
        <v>1.085</v>
      </c>
      <c r="R417" s="44">
        <f t="shared" si="136"/>
        <v>817.30000000000007</v>
      </c>
      <c r="S417" s="44">
        <f t="shared" si="137"/>
        <v>817.30000000000007</v>
      </c>
      <c r="T417" s="50">
        <v>1.1000000000000001</v>
      </c>
      <c r="U417" s="44">
        <f t="shared" si="137"/>
        <v>1309.7183677091284</v>
      </c>
      <c r="V417" s="15">
        <f t="shared" si="125"/>
        <v>1233.2564667694242</v>
      </c>
      <c r="W417" s="260">
        <f t="shared" si="126"/>
        <v>1233.2564667694242</v>
      </c>
      <c r="X417" s="132">
        <f>1582*106.5%</f>
        <v>1684.83</v>
      </c>
    </row>
    <row r="418" spans="1:24" s="17" customFormat="1" ht="14.1" customHeight="1" x14ac:dyDescent="0.25">
      <c r="A418" s="363"/>
      <c r="B418" s="59" t="s">
        <v>317</v>
      </c>
      <c r="C418" s="89">
        <v>960</v>
      </c>
      <c r="D418" s="52">
        <f t="shared" si="138"/>
        <v>1015.8720000000001</v>
      </c>
      <c r="E418" s="52">
        <f t="shared" si="139"/>
        <v>1016</v>
      </c>
      <c r="F418" s="52">
        <f t="shared" si="140"/>
        <v>1109.472</v>
      </c>
      <c r="G418" s="53">
        <v>1220</v>
      </c>
      <c r="H418" s="53">
        <f t="shared" si="123"/>
        <v>1892.5207097504401</v>
      </c>
      <c r="I418" s="70">
        <v>1.0620000000000001</v>
      </c>
      <c r="J418" s="44">
        <f t="shared" si="135"/>
        <v>1782.0345666200001</v>
      </c>
      <c r="K418" s="70">
        <v>1.0640000000000001</v>
      </c>
      <c r="L418" s="44">
        <f t="shared" si="134"/>
        <v>1674.8445174999999</v>
      </c>
      <c r="M418" s="47">
        <v>1.07</v>
      </c>
      <c r="N418" s="44">
        <f t="shared" si="129"/>
        <v>1565.2752499999999</v>
      </c>
      <c r="O418" s="70">
        <v>1.075</v>
      </c>
      <c r="P418" s="44">
        <f t="shared" si="118"/>
        <v>1456.07</v>
      </c>
      <c r="Q418" s="70">
        <v>1.085</v>
      </c>
      <c r="R418" s="44">
        <f t="shared" si="136"/>
        <v>1342</v>
      </c>
      <c r="S418" s="44">
        <f t="shared" si="137"/>
        <v>1342</v>
      </c>
      <c r="T418" s="50">
        <v>1.1000000000000001</v>
      </c>
      <c r="U418" s="44">
        <f t="shared" si="137"/>
        <v>2150.5469833178154</v>
      </c>
      <c r="V418" s="15">
        <f t="shared" si="125"/>
        <v>2024.9971594329711</v>
      </c>
      <c r="W418" s="260">
        <f t="shared" si="126"/>
        <v>2024.9971594329711</v>
      </c>
      <c r="X418" s="132">
        <f>2596*106.5%</f>
        <v>2764.74</v>
      </c>
    </row>
    <row r="419" spans="1:24" s="17" customFormat="1" ht="14.1" customHeight="1" x14ac:dyDescent="0.25">
      <c r="A419" s="363"/>
      <c r="B419" s="59" t="s">
        <v>541</v>
      </c>
      <c r="C419" s="89">
        <v>1370</v>
      </c>
      <c r="D419" s="52">
        <f t="shared" si="138"/>
        <v>1449.7340000000002</v>
      </c>
      <c r="E419" s="52">
        <f t="shared" si="139"/>
        <v>1450</v>
      </c>
      <c r="F419" s="52">
        <f t="shared" si="140"/>
        <v>1583.4</v>
      </c>
      <c r="G419" s="53">
        <v>1741</v>
      </c>
      <c r="H419" s="53">
        <f t="shared" si="123"/>
        <v>2700.7201276028823</v>
      </c>
      <c r="I419" s="70">
        <v>1.0620000000000001</v>
      </c>
      <c r="J419" s="44">
        <f t="shared" si="135"/>
        <v>2543.050967611</v>
      </c>
      <c r="K419" s="70">
        <v>1.0640000000000001</v>
      </c>
      <c r="L419" s="44">
        <f t="shared" si="134"/>
        <v>2390.0854958750001</v>
      </c>
      <c r="M419" s="47">
        <v>1.07</v>
      </c>
      <c r="N419" s="44">
        <f t="shared" si="129"/>
        <v>2233.7247625</v>
      </c>
      <c r="O419" s="70">
        <v>1.075</v>
      </c>
      <c r="P419" s="44">
        <f t="shared" si="118"/>
        <v>2077.8834999999999</v>
      </c>
      <c r="Q419" s="70">
        <v>1.085</v>
      </c>
      <c r="R419" s="44">
        <f t="shared" si="136"/>
        <v>1915.1000000000001</v>
      </c>
      <c r="S419" s="44">
        <f t="shared" si="137"/>
        <v>1915.1000000000001</v>
      </c>
      <c r="T419" s="50">
        <v>1.1000000000000001</v>
      </c>
      <c r="U419" s="44">
        <f t="shared" si="137"/>
        <v>3068.9363098002596</v>
      </c>
      <c r="V419" s="15">
        <f t="shared" si="125"/>
        <v>2889.7705365350844</v>
      </c>
      <c r="W419" s="260">
        <f t="shared" si="126"/>
        <v>2889.7705365350844</v>
      </c>
      <c r="X419" s="132">
        <f>3706*106.5%</f>
        <v>3946.89</v>
      </c>
    </row>
    <row r="420" spans="1:24" s="17" customFormat="1" ht="14.1" customHeight="1" x14ac:dyDescent="0.25">
      <c r="A420" s="363"/>
      <c r="B420" s="59" t="s">
        <v>542</v>
      </c>
      <c r="C420" s="89">
        <v>1832</v>
      </c>
      <c r="D420" s="52">
        <f t="shared" si="138"/>
        <v>1938.6224</v>
      </c>
      <c r="E420" s="52">
        <v>6190</v>
      </c>
      <c r="F420" s="52">
        <f t="shared" si="140"/>
        <v>6759.4800000000005</v>
      </c>
      <c r="G420" s="53">
        <v>7435</v>
      </c>
      <c r="H420" s="53">
        <f t="shared" si="123"/>
        <v>11533.517604093871</v>
      </c>
      <c r="I420" s="70">
        <v>1.0620000000000001</v>
      </c>
      <c r="J420" s="44">
        <f t="shared" si="135"/>
        <v>10860.186067885001</v>
      </c>
      <c r="K420" s="70">
        <v>1.0640000000000001</v>
      </c>
      <c r="L420" s="44">
        <f t="shared" si="134"/>
        <v>10206.941793125001</v>
      </c>
      <c r="M420" s="47">
        <v>1.07</v>
      </c>
      <c r="N420" s="44">
        <f t="shared" si="129"/>
        <v>9539.197937500001</v>
      </c>
      <c r="O420" s="70">
        <v>1.075</v>
      </c>
      <c r="P420" s="44">
        <f t="shared" si="118"/>
        <v>8873.6725000000006</v>
      </c>
      <c r="Q420" s="70">
        <v>1.085</v>
      </c>
      <c r="R420" s="44">
        <f t="shared" si="136"/>
        <v>8178.5000000000009</v>
      </c>
      <c r="S420" s="44">
        <f t="shared" si="137"/>
        <v>8178.5000000000009</v>
      </c>
      <c r="T420" s="50">
        <v>1.1000000000000001</v>
      </c>
      <c r="U420" s="44">
        <f t="shared" si="137"/>
        <v>13105.997394236032</v>
      </c>
      <c r="V420" s="15">
        <f t="shared" si="125"/>
        <v>12340.863836380444</v>
      </c>
      <c r="W420" s="260">
        <f t="shared" si="126"/>
        <v>12340.863836380444</v>
      </c>
      <c r="X420" s="132">
        <f>15826*106.5%</f>
        <v>16854.689999999999</v>
      </c>
    </row>
    <row r="421" spans="1:24" s="17" customFormat="1" ht="14.1" customHeight="1" x14ac:dyDescent="0.25">
      <c r="A421" s="363"/>
      <c r="B421" s="59" t="s">
        <v>185</v>
      </c>
      <c r="C421" s="89"/>
      <c r="D421" s="52"/>
      <c r="E421" s="52"/>
      <c r="F421" s="52"/>
      <c r="G421" s="53">
        <v>4637</v>
      </c>
      <c r="H421" s="53">
        <f t="shared" si="123"/>
        <v>7193.1299435350757</v>
      </c>
      <c r="I421" s="70">
        <v>1.0620000000000001</v>
      </c>
      <c r="J421" s="44">
        <f t="shared" si="135"/>
        <v>6773.1920372270015</v>
      </c>
      <c r="K421" s="70">
        <v>1.0640000000000001</v>
      </c>
      <c r="L421" s="44">
        <f t="shared" si="134"/>
        <v>6365.7819898750013</v>
      </c>
      <c r="M421" s="47">
        <v>1.07</v>
      </c>
      <c r="N421" s="44">
        <f t="shared" si="129"/>
        <v>5949.3289625000007</v>
      </c>
      <c r="O421" s="70">
        <v>1.075</v>
      </c>
      <c r="P421" s="44">
        <f t="shared" si="118"/>
        <v>5534.259500000001</v>
      </c>
      <c r="Q421" s="70">
        <v>1.085</v>
      </c>
      <c r="R421" s="44">
        <f t="shared" si="136"/>
        <v>5100.7000000000007</v>
      </c>
      <c r="S421" s="44">
        <f t="shared" si="137"/>
        <v>5100.7000000000007</v>
      </c>
      <c r="T421" s="50">
        <v>1.1000000000000001</v>
      </c>
      <c r="U421" s="44">
        <f t="shared" si="137"/>
        <v>8173.8412800366486</v>
      </c>
      <c r="V421" s="15">
        <f t="shared" si="125"/>
        <v>7696.6490395825313</v>
      </c>
      <c r="W421" s="260">
        <f t="shared" si="126"/>
        <v>7696.6490395825313</v>
      </c>
      <c r="X421" s="132">
        <f>9868*106.5%</f>
        <v>10509.42</v>
      </c>
    </row>
    <row r="422" spans="1:24" s="17" customFormat="1" ht="14.1" customHeight="1" x14ac:dyDescent="0.25">
      <c r="A422" s="363"/>
      <c r="B422" s="59" t="s">
        <v>186</v>
      </c>
      <c r="C422" s="89"/>
      <c r="D422" s="52"/>
      <c r="E422" s="52"/>
      <c r="F422" s="52"/>
      <c r="G422" s="53">
        <v>4000</v>
      </c>
      <c r="H422" s="53">
        <f t="shared" si="123"/>
        <v>6204.9859336080017</v>
      </c>
      <c r="I422" s="70">
        <v>1.0620000000000001</v>
      </c>
      <c r="J422" s="44">
        <f t="shared" si="135"/>
        <v>5842.7362840000014</v>
      </c>
      <c r="K422" s="70">
        <v>1.0640000000000001</v>
      </c>
      <c r="L422" s="44">
        <f t="shared" si="134"/>
        <v>5491.2935000000007</v>
      </c>
      <c r="M422" s="47">
        <v>1.07</v>
      </c>
      <c r="N422" s="44">
        <f t="shared" si="129"/>
        <v>5132.05</v>
      </c>
      <c r="O422" s="70">
        <v>1.075</v>
      </c>
      <c r="P422" s="44">
        <f t="shared" si="118"/>
        <v>4774</v>
      </c>
      <c r="Q422" s="70">
        <v>1.085</v>
      </c>
      <c r="R422" s="44">
        <f t="shared" si="136"/>
        <v>4400</v>
      </c>
      <c r="S422" s="44">
        <f t="shared" si="137"/>
        <v>4400</v>
      </c>
      <c r="T422" s="50">
        <v>1.1000000000000001</v>
      </c>
      <c r="U422" s="44">
        <f t="shared" si="137"/>
        <v>7050.9737157961181</v>
      </c>
      <c r="V422" s="15">
        <f t="shared" si="125"/>
        <v>6639.3349489605625</v>
      </c>
      <c r="W422" s="260">
        <f t="shared" si="126"/>
        <v>6639.3349489605625</v>
      </c>
      <c r="X422" s="132">
        <f>8513*106.5%</f>
        <v>9066.3449999999993</v>
      </c>
    </row>
    <row r="423" spans="1:24" s="17" customFormat="1" ht="14.1" customHeight="1" x14ac:dyDescent="0.25">
      <c r="A423" s="363"/>
      <c r="B423" s="59" t="s">
        <v>802</v>
      </c>
      <c r="C423" s="89"/>
      <c r="D423" s="52"/>
      <c r="E423" s="52"/>
      <c r="F423" s="52"/>
      <c r="G423" s="53"/>
      <c r="H423" s="53">
        <f t="shared" si="123"/>
        <v>28249.200000000001</v>
      </c>
      <c r="I423" s="70">
        <v>1.0620000000000001</v>
      </c>
      <c r="J423" s="44">
        <v>26600</v>
      </c>
      <c r="K423" s="70"/>
      <c r="L423" s="44"/>
      <c r="M423" s="47"/>
      <c r="N423" s="44"/>
      <c r="O423" s="70"/>
      <c r="P423" s="44"/>
      <c r="Q423" s="70"/>
      <c r="R423" s="44"/>
      <c r="S423" s="44"/>
      <c r="T423" s="50"/>
      <c r="U423" s="44"/>
      <c r="V423" s="15">
        <f t="shared" si="125"/>
        <v>30226.644000000004</v>
      </c>
      <c r="W423" s="260">
        <f t="shared" si="126"/>
        <v>30226.644000000004</v>
      </c>
      <c r="X423" s="132">
        <f>38760*106.5%</f>
        <v>41279.4</v>
      </c>
    </row>
    <row r="424" spans="1:24" s="17" customFormat="1" ht="14.1" customHeight="1" x14ac:dyDescent="0.25">
      <c r="A424" s="363"/>
      <c r="B424" s="59" t="s">
        <v>183</v>
      </c>
      <c r="C424" s="89"/>
      <c r="D424" s="52"/>
      <c r="E424" s="92">
        <v>2300</v>
      </c>
      <c r="F424" s="92">
        <f t="shared" si="140"/>
        <v>2511.6000000000004</v>
      </c>
      <c r="G424" s="53">
        <v>2763</v>
      </c>
      <c r="H424" s="53">
        <f t="shared" si="123"/>
        <v>4286.0940336397261</v>
      </c>
      <c r="I424" s="70">
        <v>1.0620000000000001</v>
      </c>
      <c r="J424" s="44">
        <f t="shared" si="135"/>
        <v>4035.8700881730001</v>
      </c>
      <c r="K424" s="70">
        <v>1.0640000000000001</v>
      </c>
      <c r="L424" s="44">
        <f t="shared" si="134"/>
        <v>3793.1109851249998</v>
      </c>
      <c r="M424" s="47">
        <v>1.07</v>
      </c>
      <c r="N424" s="44">
        <f t="shared" si="129"/>
        <v>3544.9635374999998</v>
      </c>
      <c r="O424" s="70">
        <v>1.075</v>
      </c>
      <c r="P424" s="44">
        <f t="shared" si="118"/>
        <v>3297.6405</v>
      </c>
      <c r="Q424" s="70">
        <v>1.085</v>
      </c>
      <c r="R424" s="44">
        <f t="shared" si="136"/>
        <v>3039.3</v>
      </c>
      <c r="S424" s="44">
        <f t="shared" si="137"/>
        <v>3039.3</v>
      </c>
      <c r="T424" s="50">
        <v>1.1000000000000001</v>
      </c>
      <c r="U424" s="44">
        <f t="shared" si="137"/>
        <v>4870.4600941861663</v>
      </c>
      <c r="V424" s="15">
        <f t="shared" si="125"/>
        <v>4586.1206159945068</v>
      </c>
      <c r="W424" s="260">
        <f t="shared" si="126"/>
        <v>4586.1206159945068</v>
      </c>
      <c r="X424" s="132">
        <f>5881*106.5%</f>
        <v>6263.2649999999994</v>
      </c>
    </row>
    <row r="425" spans="1:24" ht="14.1" customHeight="1" x14ac:dyDescent="0.25">
      <c r="A425" s="363"/>
      <c r="B425" s="128" t="s">
        <v>167</v>
      </c>
      <c r="C425" s="284"/>
      <c r="D425" s="284"/>
      <c r="E425" s="284"/>
      <c r="F425" s="284"/>
      <c r="G425" s="44">
        <v>250</v>
      </c>
      <c r="H425" s="53">
        <f>J425*I425</f>
        <v>387.81162085050011</v>
      </c>
      <c r="I425" s="70">
        <v>1.0620000000000001</v>
      </c>
      <c r="J425" s="44">
        <f>K425*L425</f>
        <v>365.17101775000009</v>
      </c>
      <c r="K425" s="70">
        <v>1.0640000000000001</v>
      </c>
      <c r="L425" s="44">
        <f>M425*N425</f>
        <v>343.20584375000004</v>
      </c>
      <c r="M425" s="47">
        <v>1.07</v>
      </c>
      <c r="N425" s="44">
        <f t="shared" si="129"/>
        <v>320.75312500000001</v>
      </c>
      <c r="O425" s="70">
        <v>1.075</v>
      </c>
      <c r="P425" s="44">
        <f t="shared" si="118"/>
        <v>298.375</v>
      </c>
      <c r="Q425" s="70">
        <v>1.085</v>
      </c>
      <c r="R425" s="44">
        <f t="shared" si="136"/>
        <v>275</v>
      </c>
      <c r="S425" s="44">
        <f>G425*T425</f>
        <v>275</v>
      </c>
      <c r="T425" s="50">
        <v>1.1000000000000001</v>
      </c>
      <c r="U425" s="44">
        <f>I425*V425</f>
        <v>440.68585723725738</v>
      </c>
      <c r="V425" s="15">
        <f>H425*107%</f>
        <v>414.95843431003516</v>
      </c>
      <c r="W425" s="260">
        <f>V425</f>
        <v>414.95843431003516</v>
      </c>
      <c r="X425" s="132">
        <f>533*106.5%</f>
        <v>567.64499999999998</v>
      </c>
    </row>
    <row r="426" spans="1:24" ht="14.1" customHeight="1" x14ac:dyDescent="0.25">
      <c r="A426" s="363"/>
      <c r="B426" s="128" t="s">
        <v>168</v>
      </c>
      <c r="C426" s="284"/>
      <c r="D426" s="284"/>
      <c r="E426" s="284"/>
      <c r="F426" s="284"/>
      <c r="G426" s="67" t="s">
        <v>623</v>
      </c>
      <c r="H426" s="53">
        <f>J426*I426</f>
        <v>1699.2</v>
      </c>
      <c r="I426" s="70">
        <v>1.0620000000000001</v>
      </c>
      <c r="J426" s="44">
        <v>1600</v>
      </c>
      <c r="K426" s="47"/>
      <c r="L426" s="44" t="s">
        <v>623</v>
      </c>
      <c r="M426" s="47"/>
      <c r="N426" s="44"/>
      <c r="O426" s="70">
        <v>1.075</v>
      </c>
      <c r="P426" s="44" t="s">
        <v>623</v>
      </c>
      <c r="Q426" s="70">
        <v>1.085</v>
      </c>
      <c r="R426" s="44" t="str">
        <f t="shared" si="136"/>
        <v>договорная</v>
      </c>
      <c r="S426" s="44" t="s">
        <v>623</v>
      </c>
      <c r="T426" s="280"/>
      <c r="U426" s="44" t="s">
        <v>623</v>
      </c>
      <c r="V426" s="15">
        <f>H426*107%</f>
        <v>1818.1440000000002</v>
      </c>
      <c r="W426" s="260">
        <f>V426</f>
        <v>1818.1440000000002</v>
      </c>
      <c r="X426" s="132">
        <f>2330*106.5%</f>
        <v>2481.4499999999998</v>
      </c>
    </row>
    <row r="427" spans="1:24" ht="14.1" customHeight="1" x14ac:dyDescent="0.25">
      <c r="A427" s="284" t="s">
        <v>347</v>
      </c>
      <c r="B427" s="279" t="s">
        <v>993</v>
      </c>
      <c r="C427" s="328"/>
      <c r="D427" s="328"/>
      <c r="E427" s="328"/>
      <c r="F427" s="328"/>
      <c r="G427" s="329"/>
      <c r="H427" s="322"/>
      <c r="I427" s="318"/>
      <c r="J427" s="305"/>
      <c r="K427" s="47"/>
      <c r="L427" s="44"/>
      <c r="M427" s="47"/>
      <c r="N427" s="44"/>
      <c r="O427" s="70"/>
      <c r="P427" s="44"/>
      <c r="Q427" s="70"/>
      <c r="R427" s="44"/>
      <c r="S427" s="44"/>
      <c r="T427" s="280"/>
      <c r="U427" s="44"/>
      <c r="V427" s="15"/>
      <c r="W427" s="30"/>
      <c r="X427" s="132"/>
    </row>
    <row r="428" spans="1:24" ht="14.1" customHeight="1" x14ac:dyDescent="0.25">
      <c r="A428" s="395"/>
      <c r="B428" s="33" t="s">
        <v>166</v>
      </c>
      <c r="C428" s="328"/>
      <c r="D428" s="328"/>
      <c r="E428" s="328"/>
      <c r="F428" s="328"/>
      <c r="G428" s="329"/>
      <c r="H428" s="322"/>
      <c r="I428" s="318"/>
      <c r="J428" s="305"/>
      <c r="K428" s="47"/>
      <c r="L428" s="44"/>
      <c r="M428" s="47"/>
      <c r="N428" s="44"/>
      <c r="O428" s="70"/>
      <c r="P428" s="44"/>
      <c r="Q428" s="70"/>
      <c r="R428" s="44"/>
      <c r="S428" s="44"/>
      <c r="T428" s="280"/>
      <c r="U428" s="44"/>
      <c r="V428" s="15"/>
      <c r="W428" s="30"/>
      <c r="X428" s="132">
        <f>3254*106.5%</f>
        <v>3465.5099999999998</v>
      </c>
    </row>
    <row r="429" spans="1:24" ht="14.1" customHeight="1" x14ac:dyDescent="0.25">
      <c r="A429" s="396"/>
      <c r="B429" s="279" t="s">
        <v>994</v>
      </c>
      <c r="C429" s="328"/>
      <c r="D429" s="328"/>
      <c r="E429" s="328"/>
      <c r="F429" s="328"/>
      <c r="G429" s="329"/>
      <c r="H429" s="322"/>
      <c r="I429" s="318"/>
      <c r="J429" s="305"/>
      <c r="K429" s="47"/>
      <c r="L429" s="44"/>
      <c r="M429" s="47"/>
      <c r="N429" s="44"/>
      <c r="O429" s="70"/>
      <c r="P429" s="44"/>
      <c r="Q429" s="70"/>
      <c r="R429" s="44"/>
      <c r="S429" s="44"/>
      <c r="T429" s="280"/>
      <c r="U429" s="44"/>
      <c r="V429" s="15"/>
      <c r="W429" s="30"/>
      <c r="X429" s="132">
        <f>6508*106.5%</f>
        <v>6931.0199999999995</v>
      </c>
    </row>
    <row r="430" spans="1:24" ht="29.45" customHeight="1" x14ac:dyDescent="0.25">
      <c r="A430" s="396"/>
      <c r="B430" s="126" t="s">
        <v>995</v>
      </c>
      <c r="C430" s="328"/>
      <c r="D430" s="328"/>
      <c r="E430" s="328"/>
      <c r="F430" s="328"/>
      <c r="G430" s="329"/>
      <c r="H430" s="322"/>
      <c r="I430" s="318"/>
      <c r="J430" s="305"/>
      <c r="K430" s="47"/>
      <c r="L430" s="44"/>
      <c r="M430" s="47"/>
      <c r="N430" s="44"/>
      <c r="O430" s="70"/>
      <c r="P430" s="44"/>
      <c r="Q430" s="70"/>
      <c r="R430" s="44"/>
      <c r="S430" s="44"/>
      <c r="T430" s="280"/>
      <c r="U430" s="44"/>
      <c r="V430" s="15"/>
      <c r="W430" s="30"/>
      <c r="X430" s="132">
        <f>9762*106.5%</f>
        <v>10396.529999999999</v>
      </c>
    </row>
    <row r="431" spans="1:24" ht="27.95" customHeight="1" x14ac:dyDescent="0.25">
      <c r="A431" s="396"/>
      <c r="B431" s="126" t="s">
        <v>996</v>
      </c>
      <c r="C431" s="328"/>
      <c r="D431" s="328"/>
      <c r="E431" s="328"/>
      <c r="F431" s="328"/>
      <c r="G431" s="329"/>
      <c r="H431" s="322"/>
      <c r="I431" s="318"/>
      <c r="J431" s="305"/>
      <c r="K431" s="47"/>
      <c r="L431" s="44"/>
      <c r="M431" s="47"/>
      <c r="N431" s="44"/>
      <c r="O431" s="70"/>
      <c r="P431" s="44"/>
      <c r="Q431" s="70"/>
      <c r="R431" s="44"/>
      <c r="S431" s="44"/>
      <c r="T431" s="280"/>
      <c r="U431" s="44"/>
      <c r="V431" s="15"/>
      <c r="W431" s="30"/>
      <c r="X431" s="132">
        <f>13016*106.5%</f>
        <v>13862.039999999999</v>
      </c>
    </row>
    <row r="432" spans="1:24" ht="27.95" customHeight="1" x14ac:dyDescent="0.25">
      <c r="A432" s="396"/>
      <c r="B432" s="126" t="s">
        <v>997</v>
      </c>
      <c r="C432" s="328"/>
      <c r="D432" s="328"/>
      <c r="E432" s="328"/>
      <c r="F432" s="328"/>
      <c r="G432" s="329"/>
      <c r="H432" s="322"/>
      <c r="I432" s="318"/>
      <c r="J432" s="305"/>
      <c r="K432" s="47"/>
      <c r="L432" s="44"/>
      <c r="M432" s="47"/>
      <c r="N432" s="44"/>
      <c r="O432" s="70"/>
      <c r="P432" s="44"/>
      <c r="Q432" s="70"/>
      <c r="R432" s="44"/>
      <c r="S432" s="44"/>
      <c r="T432" s="280"/>
      <c r="U432" s="44"/>
      <c r="V432" s="15"/>
      <c r="W432" s="30"/>
      <c r="X432" s="132">
        <f>16270*106.5%</f>
        <v>17327.55</v>
      </c>
    </row>
    <row r="433" spans="1:24" ht="14.1" customHeight="1" x14ac:dyDescent="0.25">
      <c r="A433" s="397"/>
      <c r="B433" s="279" t="s">
        <v>998</v>
      </c>
      <c r="C433" s="328"/>
      <c r="D433" s="328"/>
      <c r="E433" s="328"/>
      <c r="F433" s="328"/>
      <c r="G433" s="329"/>
      <c r="H433" s="322"/>
      <c r="I433" s="318"/>
      <c r="J433" s="305"/>
      <c r="K433" s="47"/>
      <c r="L433" s="44"/>
      <c r="M433" s="47"/>
      <c r="N433" s="44"/>
      <c r="O433" s="70"/>
      <c r="P433" s="44"/>
      <c r="Q433" s="70"/>
      <c r="R433" s="44"/>
      <c r="S433" s="44"/>
      <c r="T433" s="280"/>
      <c r="U433" s="44"/>
      <c r="V433" s="15"/>
      <c r="W433" s="30"/>
      <c r="X433" s="132">
        <f>3254*106.5%</f>
        <v>3465.5099999999998</v>
      </c>
    </row>
    <row r="434" spans="1:24" ht="28.5" customHeight="1" x14ac:dyDescent="0.25">
      <c r="A434" s="284" t="s">
        <v>348</v>
      </c>
      <c r="B434" s="126" t="s">
        <v>999</v>
      </c>
      <c r="C434" s="328"/>
      <c r="D434" s="328"/>
      <c r="E434" s="328"/>
      <c r="F434" s="328"/>
      <c r="G434" s="329"/>
      <c r="H434" s="322"/>
      <c r="I434" s="318"/>
      <c r="J434" s="305"/>
      <c r="K434" s="47"/>
      <c r="L434" s="44"/>
      <c r="M434" s="47"/>
      <c r="N434" s="44"/>
      <c r="O434" s="70"/>
      <c r="P434" s="44"/>
      <c r="Q434" s="70"/>
      <c r="R434" s="44"/>
      <c r="S434" s="44"/>
      <c r="T434" s="280"/>
      <c r="U434" s="44"/>
      <c r="V434" s="15"/>
      <c r="W434" s="30"/>
      <c r="X434" s="132"/>
    </row>
    <row r="435" spans="1:24" ht="14.1" customHeight="1" x14ac:dyDescent="0.25">
      <c r="A435" s="395"/>
      <c r="B435" s="279" t="s">
        <v>1000</v>
      </c>
      <c r="C435" s="328"/>
      <c r="D435" s="328"/>
      <c r="E435" s="328"/>
      <c r="F435" s="328"/>
      <c r="G435" s="329"/>
      <c r="H435" s="322"/>
      <c r="I435" s="318"/>
      <c r="J435" s="305"/>
      <c r="K435" s="47"/>
      <c r="L435" s="44"/>
      <c r="M435" s="47"/>
      <c r="N435" s="44"/>
      <c r="O435" s="70"/>
      <c r="P435" s="44"/>
      <c r="Q435" s="70"/>
      <c r="R435" s="44"/>
      <c r="S435" s="44"/>
      <c r="T435" s="280"/>
      <c r="U435" s="44"/>
      <c r="V435" s="15"/>
      <c r="W435" s="30"/>
      <c r="X435" s="132">
        <f>16270*106.5%</f>
        <v>17327.55</v>
      </c>
    </row>
    <row r="436" spans="1:24" ht="14.1" customHeight="1" x14ac:dyDescent="0.25">
      <c r="A436" s="397"/>
      <c r="B436" s="279" t="s">
        <v>1001</v>
      </c>
      <c r="C436" s="328"/>
      <c r="D436" s="328"/>
      <c r="E436" s="328"/>
      <c r="F436" s="328"/>
      <c r="G436" s="329"/>
      <c r="H436" s="322"/>
      <c r="I436" s="318"/>
      <c r="J436" s="305"/>
      <c r="K436" s="47"/>
      <c r="L436" s="44"/>
      <c r="M436" s="47"/>
      <c r="N436" s="44"/>
      <c r="O436" s="70"/>
      <c r="P436" s="44"/>
      <c r="Q436" s="70"/>
      <c r="R436" s="44"/>
      <c r="S436" s="44"/>
      <c r="T436" s="280"/>
      <c r="U436" s="44"/>
      <c r="V436" s="15"/>
      <c r="W436" s="30"/>
      <c r="X436" s="132">
        <f>40675*106.5%</f>
        <v>43318.875</v>
      </c>
    </row>
    <row r="437" spans="1:24" s="18" customFormat="1" ht="14.1" customHeight="1" x14ac:dyDescent="0.25">
      <c r="A437" s="362" t="s">
        <v>349</v>
      </c>
      <c r="B437" s="392" t="s">
        <v>419</v>
      </c>
      <c r="C437" s="393"/>
      <c r="D437" s="393"/>
      <c r="E437" s="393"/>
      <c r="F437" s="393"/>
      <c r="G437" s="393"/>
      <c r="H437" s="393"/>
      <c r="I437" s="393"/>
      <c r="J437" s="394"/>
      <c r="K437" s="47"/>
      <c r="L437" s="44"/>
      <c r="M437" s="47"/>
      <c r="N437" s="44"/>
      <c r="O437" s="70"/>
      <c r="P437" s="44"/>
      <c r="Q437" s="70"/>
      <c r="R437" s="44"/>
      <c r="S437" s="44"/>
      <c r="T437" s="45"/>
      <c r="U437" s="44"/>
      <c r="V437" s="15"/>
      <c r="X437" s="268"/>
    </row>
    <row r="438" spans="1:24" s="18" customFormat="1" ht="14.1" customHeight="1" x14ac:dyDescent="0.25">
      <c r="A438" s="363"/>
      <c r="B438" s="94" t="s">
        <v>420</v>
      </c>
      <c r="C438" s="95"/>
      <c r="D438" s="93"/>
      <c r="E438" s="56"/>
      <c r="F438" s="56"/>
      <c r="G438" s="44">
        <v>1485</v>
      </c>
      <c r="H438" s="53">
        <f>J438*I438</f>
        <v>1490.8083087240002</v>
      </c>
      <c r="I438" s="70">
        <v>1.0620000000000001</v>
      </c>
      <c r="J438" s="44">
        <f>K438*L438</f>
        <v>1403.774302</v>
      </c>
      <c r="K438" s="70">
        <v>1.0640000000000001</v>
      </c>
      <c r="L438" s="44">
        <f>M438*N438</f>
        <v>1319.3367499999999</v>
      </c>
      <c r="M438" s="47">
        <v>1.07</v>
      </c>
      <c r="N438" s="44">
        <f t="shared" si="129"/>
        <v>1233.0249999999999</v>
      </c>
      <c r="O438" s="70">
        <v>1.075</v>
      </c>
      <c r="P438" s="44">
        <v>1147</v>
      </c>
      <c r="Q438" s="113" t="s">
        <v>258</v>
      </c>
      <c r="R438" s="44">
        <f>S438</f>
        <v>1057</v>
      </c>
      <c r="S438" s="44">
        <v>1057</v>
      </c>
      <c r="T438" s="71" t="s">
        <v>437</v>
      </c>
      <c r="U438" s="44">
        <v>1057</v>
      </c>
      <c r="V438" s="15">
        <f>H438*107%</f>
        <v>1595.1648903346802</v>
      </c>
      <c r="W438" s="260">
        <f>V438</f>
        <v>1595.1648903346802</v>
      </c>
      <c r="X438" s="132">
        <f>2046*106.5%</f>
        <v>2178.9899999999998</v>
      </c>
    </row>
    <row r="439" spans="1:24" s="18" customFormat="1" ht="14.1" customHeight="1" x14ac:dyDescent="0.25">
      <c r="A439" s="363"/>
      <c r="B439" s="94" t="s">
        <v>33</v>
      </c>
      <c r="C439" s="95">
        <v>1201</v>
      </c>
      <c r="D439" s="56">
        <f>C439*1.0582</f>
        <v>1270.8982000000001</v>
      </c>
      <c r="E439" s="56">
        <f>ROUND(D439,0)</f>
        <v>1271</v>
      </c>
      <c r="F439" s="56">
        <f t="shared" si="140"/>
        <v>1387.932</v>
      </c>
      <c r="G439" s="44">
        <v>1527</v>
      </c>
      <c r="H439" s="53">
        <f>J439*I439</f>
        <v>2361.6379223640001</v>
      </c>
      <c r="I439" s="70">
        <v>1.0620000000000001</v>
      </c>
      <c r="J439" s="44">
        <f>K439*L439</f>
        <v>2223.7645219999999</v>
      </c>
      <c r="K439" s="70">
        <v>1.0640000000000001</v>
      </c>
      <c r="L439" s="44">
        <f t="shared" ref="L439:L483" si="141">M439*N439</f>
        <v>2090.00425</v>
      </c>
      <c r="M439" s="47">
        <v>1.07</v>
      </c>
      <c r="N439" s="44">
        <f>O439*P439</f>
        <v>1953.2749999999999</v>
      </c>
      <c r="O439" s="70">
        <v>1.075</v>
      </c>
      <c r="P439" s="44">
        <v>1817</v>
      </c>
      <c r="Q439" s="113" t="s">
        <v>258</v>
      </c>
      <c r="R439" s="44">
        <f>S439</f>
        <v>1675</v>
      </c>
      <c r="S439" s="44">
        <v>1675</v>
      </c>
      <c r="T439" s="45">
        <v>1.1000000000000001</v>
      </c>
      <c r="U439" s="44">
        <v>-1672.8</v>
      </c>
      <c r="V439" s="15">
        <f>H439*107%</f>
        <v>2526.9525769294801</v>
      </c>
      <c r="W439" s="260">
        <f>V439</f>
        <v>2526.9525769294801</v>
      </c>
      <c r="X439" s="132">
        <f>3241*106.5%</f>
        <v>3451.665</v>
      </c>
    </row>
    <row r="440" spans="1:24" s="18" customFormat="1" ht="14.1" customHeight="1" x14ac:dyDescent="0.25">
      <c r="A440" s="363"/>
      <c r="B440" s="94" t="s">
        <v>34</v>
      </c>
      <c r="C440" s="95">
        <v>1829</v>
      </c>
      <c r="D440" s="56">
        <f>C440*1.0582</f>
        <v>1935.4478000000001</v>
      </c>
      <c r="E440" s="56">
        <f>ROUND(D440,0)</f>
        <v>1935</v>
      </c>
      <c r="F440" s="56">
        <f t="shared" si="140"/>
        <v>2113.02</v>
      </c>
      <c r="G440" s="44">
        <v>2324</v>
      </c>
      <c r="H440" s="53">
        <f>J440*I440</f>
        <v>3605.0968274262482</v>
      </c>
      <c r="I440" s="70">
        <v>1.0620000000000001</v>
      </c>
      <c r="J440" s="44">
        <f>K440*L440</f>
        <v>3394.6297810040001</v>
      </c>
      <c r="K440" s="70">
        <v>1.0640000000000001</v>
      </c>
      <c r="L440" s="44">
        <f t="shared" si="141"/>
        <v>3190.4415234999997</v>
      </c>
      <c r="M440" s="47">
        <v>1.07</v>
      </c>
      <c r="N440" s="44">
        <f>O440*P440</f>
        <v>2981.7210499999997</v>
      </c>
      <c r="O440" s="70">
        <v>1.075</v>
      </c>
      <c r="P440" s="44">
        <f t="shared" si="118"/>
        <v>2773.694</v>
      </c>
      <c r="Q440" s="70">
        <v>1.085</v>
      </c>
      <c r="R440" s="44">
        <f>S440</f>
        <v>2556.4</v>
      </c>
      <c r="S440" s="44">
        <f>G440*T440</f>
        <v>2556.4</v>
      </c>
      <c r="T440" s="45">
        <v>1.1000000000000001</v>
      </c>
      <c r="U440" s="44">
        <f>I440*V440</f>
        <v>4096.615728877543</v>
      </c>
      <c r="V440" s="15">
        <f>H440*107%</f>
        <v>3857.4536053460856</v>
      </c>
      <c r="W440" s="260">
        <f>V440</f>
        <v>3857.4536053460856</v>
      </c>
      <c r="X440" s="132">
        <f>4946*106.5%</f>
        <v>5267.49</v>
      </c>
    </row>
    <row r="441" spans="1:24" ht="14.1" customHeight="1" x14ac:dyDescent="0.25">
      <c r="A441" s="362" t="s">
        <v>175</v>
      </c>
      <c r="B441" s="345" t="s">
        <v>376</v>
      </c>
      <c r="C441" s="346"/>
      <c r="D441" s="346"/>
      <c r="E441" s="346"/>
      <c r="F441" s="346"/>
      <c r="G441" s="346"/>
      <c r="H441" s="346"/>
      <c r="I441" s="346"/>
      <c r="J441" s="347"/>
      <c r="K441" s="47"/>
      <c r="L441" s="44"/>
      <c r="M441" s="47"/>
      <c r="N441" s="44"/>
      <c r="O441" s="70"/>
      <c r="P441" s="44"/>
      <c r="Q441" s="70"/>
      <c r="R441" s="44"/>
      <c r="S441" s="44"/>
      <c r="T441" s="50"/>
      <c r="U441" s="44"/>
      <c r="V441" s="15"/>
      <c r="X441" s="132"/>
    </row>
    <row r="442" spans="1:24" ht="14.1" customHeight="1" x14ac:dyDescent="0.25">
      <c r="A442" s="363"/>
      <c r="B442" s="33" t="s">
        <v>307</v>
      </c>
      <c r="C442" s="41">
        <v>124</v>
      </c>
      <c r="D442" s="47">
        <f t="shared" ref="D442:D447" si="142">C442*1.0582</f>
        <v>131.21680000000001</v>
      </c>
      <c r="E442" s="47">
        <f t="shared" ref="E442:E447" si="143">ROUND(D442,0)</f>
        <v>131</v>
      </c>
      <c r="F442" s="47">
        <f t="shared" si="140"/>
        <v>143.05200000000002</v>
      </c>
      <c r="G442" s="44">
        <v>158</v>
      </c>
      <c r="H442" s="53">
        <f t="shared" ref="H442:H507" si="144">J442*I442</f>
        <v>245.096944377516</v>
      </c>
      <c r="I442" s="70">
        <v>1.0620000000000001</v>
      </c>
      <c r="J442" s="44">
        <f t="shared" ref="J442:J448" si="145">K442*L442</f>
        <v>230.788083218</v>
      </c>
      <c r="K442" s="70">
        <v>1.0640000000000001</v>
      </c>
      <c r="L442" s="44">
        <f t="shared" si="141"/>
        <v>216.90609325</v>
      </c>
      <c r="M442" s="47">
        <v>1.07</v>
      </c>
      <c r="N442" s="44">
        <f t="shared" ref="N442:N448" si="146">O442*P442</f>
        <v>202.71597499999999</v>
      </c>
      <c r="O442" s="70">
        <v>1.075</v>
      </c>
      <c r="P442" s="44">
        <f t="shared" si="118"/>
        <v>188.57300000000001</v>
      </c>
      <c r="Q442" s="70">
        <v>1.085</v>
      </c>
      <c r="R442" s="44">
        <f t="shared" ref="R442:R448" si="147">S442</f>
        <v>173.8</v>
      </c>
      <c r="S442" s="44">
        <f t="shared" ref="S442:U448" si="148">G442*T442</f>
        <v>173.8</v>
      </c>
      <c r="T442" s="50">
        <v>1.1000000000000001</v>
      </c>
      <c r="U442" s="44">
        <f t="shared" si="148"/>
        <v>278.51346177394657</v>
      </c>
      <c r="V442" s="15">
        <f t="shared" ref="V442:V448" si="149">H442*107%</f>
        <v>262.25373048394215</v>
      </c>
      <c r="W442" s="260">
        <f t="shared" ref="W442:W448" si="150">V442</f>
        <v>262.25373048394215</v>
      </c>
      <c r="X442" s="132">
        <f>335*106.5%</f>
        <v>356.77499999999998</v>
      </c>
    </row>
    <row r="443" spans="1:24" ht="14.1" customHeight="1" x14ac:dyDescent="0.25">
      <c r="A443" s="363"/>
      <c r="B443" s="33" t="s">
        <v>308</v>
      </c>
      <c r="C443" s="41">
        <v>250</v>
      </c>
      <c r="D443" s="47">
        <f t="shared" si="142"/>
        <v>264.55</v>
      </c>
      <c r="E443" s="47">
        <f t="shared" si="143"/>
        <v>265</v>
      </c>
      <c r="F443" s="47">
        <f t="shared" si="140"/>
        <v>289.38</v>
      </c>
      <c r="G443" s="44">
        <v>318</v>
      </c>
      <c r="H443" s="53">
        <f t="shared" si="144"/>
        <v>493.2963817218361</v>
      </c>
      <c r="I443" s="70">
        <v>1.0620000000000001</v>
      </c>
      <c r="J443" s="44">
        <f t="shared" si="145"/>
        <v>464.49753457800006</v>
      </c>
      <c r="K443" s="70">
        <v>1.0640000000000001</v>
      </c>
      <c r="L443" s="44">
        <f t="shared" si="141"/>
        <v>436.55783325000004</v>
      </c>
      <c r="M443" s="47">
        <v>1.07</v>
      </c>
      <c r="N443" s="44">
        <f t="shared" si="146"/>
        <v>407.997975</v>
      </c>
      <c r="O443" s="70">
        <v>1.075</v>
      </c>
      <c r="P443" s="44">
        <f t="shared" si="118"/>
        <v>379.53300000000002</v>
      </c>
      <c r="Q443" s="70">
        <v>1.085</v>
      </c>
      <c r="R443" s="44">
        <f t="shared" si="147"/>
        <v>349.8</v>
      </c>
      <c r="S443" s="44">
        <f t="shared" si="148"/>
        <v>349.8</v>
      </c>
      <c r="T443" s="50">
        <v>1.1000000000000001</v>
      </c>
      <c r="U443" s="44">
        <f t="shared" si="148"/>
        <v>560.55241040579131</v>
      </c>
      <c r="V443" s="15">
        <f t="shared" si="149"/>
        <v>527.82712844236471</v>
      </c>
      <c r="W443" s="260">
        <f t="shared" si="150"/>
        <v>527.82712844236471</v>
      </c>
      <c r="X443" s="132">
        <f>677*106.5%</f>
        <v>721.005</v>
      </c>
    </row>
    <row r="444" spans="1:24" ht="14.1" customHeight="1" x14ac:dyDescent="0.25">
      <c r="A444" s="363"/>
      <c r="B444" s="33" t="s">
        <v>311</v>
      </c>
      <c r="C444" s="41">
        <v>381</v>
      </c>
      <c r="D444" s="47">
        <f t="shared" si="142"/>
        <v>403.17419999999998</v>
      </c>
      <c r="E444" s="47">
        <f t="shared" si="143"/>
        <v>403</v>
      </c>
      <c r="F444" s="47">
        <f t="shared" si="140"/>
        <v>440.07600000000002</v>
      </c>
      <c r="G444" s="44">
        <v>484</v>
      </c>
      <c r="H444" s="53">
        <f t="shared" si="144"/>
        <v>750.80329796656827</v>
      </c>
      <c r="I444" s="70">
        <v>1.0620000000000001</v>
      </c>
      <c r="J444" s="44">
        <f t="shared" si="145"/>
        <v>706.97109036400025</v>
      </c>
      <c r="K444" s="70">
        <v>1.0640000000000001</v>
      </c>
      <c r="L444" s="44">
        <f t="shared" si="141"/>
        <v>664.44651350000015</v>
      </c>
      <c r="M444" s="47">
        <v>1.07</v>
      </c>
      <c r="N444" s="44">
        <f t="shared" si="146"/>
        <v>620.97805000000005</v>
      </c>
      <c r="O444" s="70">
        <v>1.075</v>
      </c>
      <c r="P444" s="44">
        <f t="shared" si="118"/>
        <v>577.65400000000011</v>
      </c>
      <c r="Q444" s="70">
        <v>1.085</v>
      </c>
      <c r="R444" s="44">
        <f t="shared" si="147"/>
        <v>532.40000000000009</v>
      </c>
      <c r="S444" s="44">
        <f t="shared" si="148"/>
        <v>532.40000000000009</v>
      </c>
      <c r="T444" s="50">
        <v>1.1000000000000001</v>
      </c>
      <c r="U444" s="44">
        <f t="shared" si="148"/>
        <v>853.16781961133029</v>
      </c>
      <c r="V444" s="15">
        <f t="shared" si="149"/>
        <v>803.35952882422805</v>
      </c>
      <c r="W444" s="260">
        <f t="shared" si="150"/>
        <v>803.35952882422805</v>
      </c>
      <c r="X444" s="132">
        <f>1030*106.5%</f>
        <v>1096.95</v>
      </c>
    </row>
    <row r="445" spans="1:24" ht="14.1" customHeight="1" x14ac:dyDescent="0.25">
      <c r="A445" s="363"/>
      <c r="B445" s="33" t="s">
        <v>318</v>
      </c>
      <c r="C445" s="41">
        <v>354</v>
      </c>
      <c r="D445" s="47">
        <f t="shared" si="142"/>
        <v>374.6028</v>
      </c>
      <c r="E445" s="47">
        <f t="shared" si="143"/>
        <v>375</v>
      </c>
      <c r="F445" s="47">
        <f t="shared" si="140"/>
        <v>409.50000000000006</v>
      </c>
      <c r="G445" s="44">
        <v>451</v>
      </c>
      <c r="H445" s="53">
        <f t="shared" si="144"/>
        <v>699.61216401430215</v>
      </c>
      <c r="I445" s="70">
        <v>1.0620000000000001</v>
      </c>
      <c r="J445" s="44">
        <f t="shared" si="145"/>
        <v>658.7685160210001</v>
      </c>
      <c r="K445" s="70">
        <v>1.0640000000000001</v>
      </c>
      <c r="L445" s="44">
        <f t="shared" si="141"/>
        <v>619.143342125</v>
      </c>
      <c r="M445" s="47">
        <v>1.07</v>
      </c>
      <c r="N445" s="44">
        <f t="shared" si="146"/>
        <v>578.63863749999996</v>
      </c>
      <c r="O445" s="70">
        <v>1.075</v>
      </c>
      <c r="P445" s="44">
        <f t="shared" si="118"/>
        <v>538.26850000000002</v>
      </c>
      <c r="Q445" s="70">
        <v>1.085</v>
      </c>
      <c r="R445" s="44">
        <f t="shared" si="147"/>
        <v>496.1</v>
      </c>
      <c r="S445" s="44">
        <f t="shared" si="148"/>
        <v>496.1</v>
      </c>
      <c r="T445" s="50">
        <v>1.1000000000000001</v>
      </c>
      <c r="U445" s="44">
        <f t="shared" si="148"/>
        <v>794.99728645601215</v>
      </c>
      <c r="V445" s="15">
        <f t="shared" si="149"/>
        <v>748.58501549530331</v>
      </c>
      <c r="W445" s="260">
        <f t="shared" si="150"/>
        <v>748.58501549530331</v>
      </c>
      <c r="X445" s="132">
        <f>961*106.5%</f>
        <v>1023.4649999999999</v>
      </c>
    </row>
    <row r="446" spans="1:24" ht="14.1" customHeight="1" x14ac:dyDescent="0.25">
      <c r="A446" s="363"/>
      <c r="B446" s="33" t="s">
        <v>319</v>
      </c>
      <c r="C446" s="41">
        <v>584</v>
      </c>
      <c r="D446" s="47">
        <f t="shared" si="142"/>
        <v>617.98879999999997</v>
      </c>
      <c r="E446" s="47">
        <f t="shared" si="143"/>
        <v>618</v>
      </c>
      <c r="F446" s="47">
        <f t="shared" si="140"/>
        <v>674.85599999999999</v>
      </c>
      <c r="G446" s="44">
        <v>743</v>
      </c>
      <c r="H446" s="53">
        <f t="shared" si="144"/>
        <v>1152.5761371676861</v>
      </c>
      <c r="I446" s="70">
        <v>1.0620000000000001</v>
      </c>
      <c r="J446" s="44">
        <f t="shared" si="145"/>
        <v>1085.288264753</v>
      </c>
      <c r="K446" s="70">
        <v>1.0640000000000001</v>
      </c>
      <c r="L446" s="44">
        <f t="shared" si="141"/>
        <v>1020.007767625</v>
      </c>
      <c r="M446" s="47">
        <v>1.07</v>
      </c>
      <c r="N446" s="44">
        <f t="shared" si="146"/>
        <v>953.27828750000003</v>
      </c>
      <c r="O446" s="70">
        <v>1.075</v>
      </c>
      <c r="P446" s="44">
        <f t="shared" si="118"/>
        <v>886.77050000000008</v>
      </c>
      <c r="Q446" s="70">
        <v>1.085</v>
      </c>
      <c r="R446" s="44">
        <f t="shared" si="147"/>
        <v>817.30000000000007</v>
      </c>
      <c r="S446" s="44">
        <f t="shared" si="148"/>
        <v>817.30000000000007</v>
      </c>
      <c r="T446" s="50">
        <v>1.1000000000000001</v>
      </c>
      <c r="U446" s="44">
        <f t="shared" si="148"/>
        <v>1309.7183677091284</v>
      </c>
      <c r="V446" s="15">
        <f t="shared" si="149"/>
        <v>1233.2564667694242</v>
      </c>
      <c r="W446" s="260">
        <f t="shared" si="150"/>
        <v>1233.2564667694242</v>
      </c>
      <c r="X446" s="132">
        <f>1582*106.5%</f>
        <v>1684.83</v>
      </c>
    </row>
    <row r="447" spans="1:24" ht="14.1" customHeight="1" x14ac:dyDescent="0.25">
      <c r="A447" s="363"/>
      <c r="B447" s="33" t="s">
        <v>320</v>
      </c>
      <c r="C447" s="41">
        <v>832</v>
      </c>
      <c r="D447" s="47">
        <f t="shared" si="142"/>
        <v>880.42240000000004</v>
      </c>
      <c r="E447" s="47">
        <f t="shared" si="143"/>
        <v>880</v>
      </c>
      <c r="F447" s="47">
        <f>E447*1.092</f>
        <v>960.96</v>
      </c>
      <c r="G447" s="44">
        <v>1057</v>
      </c>
      <c r="H447" s="53">
        <f t="shared" si="144"/>
        <v>1639.6675329559146</v>
      </c>
      <c r="I447" s="70">
        <v>1.0620000000000001</v>
      </c>
      <c r="J447" s="44">
        <f t="shared" si="145"/>
        <v>1543.9430630470004</v>
      </c>
      <c r="K447" s="70">
        <v>1.0640000000000001</v>
      </c>
      <c r="L447" s="44">
        <f t="shared" si="141"/>
        <v>1451.0743073750002</v>
      </c>
      <c r="M447" s="47">
        <v>1.07</v>
      </c>
      <c r="N447" s="44">
        <f t="shared" si="146"/>
        <v>1356.1442125000001</v>
      </c>
      <c r="O447" s="70">
        <v>1.075</v>
      </c>
      <c r="P447" s="44">
        <f t="shared" si="118"/>
        <v>1261.5295000000001</v>
      </c>
      <c r="Q447" s="70">
        <v>1.085</v>
      </c>
      <c r="R447" s="44">
        <f t="shared" si="147"/>
        <v>1162.7</v>
      </c>
      <c r="S447" s="44">
        <f t="shared" si="148"/>
        <v>1162.7</v>
      </c>
      <c r="T447" s="50">
        <v>1.1000000000000001</v>
      </c>
      <c r="U447" s="44">
        <f t="shared" si="148"/>
        <v>1863.2198043991241</v>
      </c>
      <c r="V447" s="15">
        <f t="shared" si="149"/>
        <v>1754.4442602628287</v>
      </c>
      <c r="W447" s="260">
        <f t="shared" si="150"/>
        <v>1754.4442602628287</v>
      </c>
      <c r="X447" s="132">
        <f>2248*106.5%</f>
        <v>2394.12</v>
      </c>
    </row>
    <row r="448" spans="1:24" ht="14.1" customHeight="1" x14ac:dyDescent="0.25">
      <c r="A448" s="363"/>
      <c r="B448" s="33" t="s">
        <v>173</v>
      </c>
      <c r="C448" s="284"/>
      <c r="D448" s="284"/>
      <c r="E448" s="284"/>
      <c r="F448" s="284"/>
      <c r="G448" s="44">
        <v>1200</v>
      </c>
      <c r="H448" s="53">
        <f t="shared" si="144"/>
        <v>1861.4957800824002</v>
      </c>
      <c r="I448" s="70">
        <v>1.0620000000000001</v>
      </c>
      <c r="J448" s="44">
        <f t="shared" si="145"/>
        <v>1752.8208852</v>
      </c>
      <c r="K448" s="70">
        <v>1.0640000000000001</v>
      </c>
      <c r="L448" s="44">
        <f t="shared" si="141"/>
        <v>1647.38805</v>
      </c>
      <c r="M448" s="47">
        <v>1.07</v>
      </c>
      <c r="N448" s="44">
        <f t="shared" si="146"/>
        <v>1539.615</v>
      </c>
      <c r="O448" s="70">
        <v>1.075</v>
      </c>
      <c r="P448" s="44">
        <f t="shared" si="118"/>
        <v>1432.2</v>
      </c>
      <c r="Q448" s="70">
        <v>1.085</v>
      </c>
      <c r="R448" s="44">
        <f t="shared" si="147"/>
        <v>1320</v>
      </c>
      <c r="S448" s="44">
        <f t="shared" si="148"/>
        <v>1320</v>
      </c>
      <c r="T448" s="91">
        <v>1.1000000000000001</v>
      </c>
      <c r="U448" s="44">
        <f t="shared" si="148"/>
        <v>2115.2921147388347</v>
      </c>
      <c r="V448" s="15">
        <f t="shared" si="149"/>
        <v>1991.8004846881684</v>
      </c>
      <c r="W448" s="260">
        <f t="shared" si="150"/>
        <v>1991.8004846881684</v>
      </c>
      <c r="X448" s="132">
        <f>2556*106.5%</f>
        <v>2722.14</v>
      </c>
    </row>
    <row r="449" spans="1:24" ht="14.1" customHeight="1" x14ac:dyDescent="0.25">
      <c r="A449" s="362" t="s">
        <v>176</v>
      </c>
      <c r="B449" s="345" t="s">
        <v>377</v>
      </c>
      <c r="C449" s="346"/>
      <c r="D449" s="346"/>
      <c r="E449" s="346"/>
      <c r="F449" s="346"/>
      <c r="G449" s="346"/>
      <c r="H449" s="346"/>
      <c r="I449" s="346"/>
      <c r="J449" s="347"/>
      <c r="K449" s="47"/>
      <c r="L449" s="44"/>
      <c r="M449" s="47"/>
      <c r="N449" s="44"/>
      <c r="O449" s="70"/>
      <c r="P449" s="44"/>
      <c r="Q449" s="70"/>
      <c r="R449" s="44"/>
      <c r="S449" s="44"/>
      <c r="T449" s="50"/>
      <c r="U449" s="44"/>
      <c r="V449" s="15"/>
      <c r="X449" s="132"/>
    </row>
    <row r="450" spans="1:24" ht="14.1" customHeight="1" x14ac:dyDescent="0.25">
      <c r="A450" s="363"/>
      <c r="B450" s="33" t="s">
        <v>312</v>
      </c>
      <c r="C450" s="41">
        <v>205</v>
      </c>
      <c r="D450" s="47">
        <f t="shared" ref="D450:D489" si="151">C450*1.0582</f>
        <v>216.93100000000001</v>
      </c>
      <c r="E450" s="47">
        <f t="shared" ref="E450:E455" si="152">ROUND(D450,0)</f>
        <v>217</v>
      </c>
      <c r="F450" s="47">
        <f t="shared" si="140"/>
        <v>236.96400000000003</v>
      </c>
      <c r="G450" s="44">
        <v>261</v>
      </c>
      <c r="H450" s="53">
        <f t="shared" si="144"/>
        <v>404.87533216792207</v>
      </c>
      <c r="I450" s="70">
        <v>1.0620000000000001</v>
      </c>
      <c r="J450" s="44">
        <f t="shared" ref="J450:J458" si="153">K450*L450</f>
        <v>381.23854253100006</v>
      </c>
      <c r="K450" s="70">
        <v>1.0640000000000001</v>
      </c>
      <c r="L450" s="44">
        <f t="shared" si="141"/>
        <v>358.30690087500005</v>
      </c>
      <c r="M450" s="47">
        <v>1.07</v>
      </c>
      <c r="N450" s="44">
        <f t="shared" ref="N450:N458" si="154">O450*P450</f>
        <v>334.8662625</v>
      </c>
      <c r="O450" s="70">
        <v>1.075</v>
      </c>
      <c r="P450" s="44">
        <f t="shared" ref="P450:P511" si="155">Q450*R450</f>
        <v>311.50350000000003</v>
      </c>
      <c r="Q450" s="70">
        <v>1.085</v>
      </c>
      <c r="R450" s="44">
        <f t="shared" ref="R450:R458" si="156">S450</f>
        <v>287.10000000000002</v>
      </c>
      <c r="S450" s="44">
        <f t="shared" ref="S450:U458" si="157">G450*T450</f>
        <v>287.10000000000002</v>
      </c>
      <c r="T450" s="50">
        <v>1.1000000000000001</v>
      </c>
      <c r="U450" s="44">
        <f t="shared" si="157"/>
        <v>460.07603495569663</v>
      </c>
      <c r="V450" s="15">
        <f t="shared" ref="V450:V458" si="158">H450*107%</f>
        <v>433.21660541967663</v>
      </c>
      <c r="W450" s="260">
        <f t="shared" ref="W450:W458" si="159">V450</f>
        <v>433.21660541967663</v>
      </c>
      <c r="X450" s="132">
        <f>556*106.5%</f>
        <v>592.14</v>
      </c>
    </row>
    <row r="451" spans="1:24" ht="14.1" customHeight="1" x14ac:dyDescent="0.25">
      <c r="A451" s="363"/>
      <c r="B451" s="33" t="s">
        <v>33</v>
      </c>
      <c r="C451" s="41">
        <v>407</v>
      </c>
      <c r="D451" s="47">
        <f t="shared" si="151"/>
        <v>430.68740000000003</v>
      </c>
      <c r="E451" s="47">
        <f t="shared" si="152"/>
        <v>431</v>
      </c>
      <c r="F451" s="47">
        <f t="shared" si="140"/>
        <v>470.65200000000004</v>
      </c>
      <c r="G451" s="44">
        <v>518</v>
      </c>
      <c r="H451" s="53">
        <f t="shared" si="144"/>
        <v>803.54567840223615</v>
      </c>
      <c r="I451" s="70">
        <v>1.0620000000000001</v>
      </c>
      <c r="J451" s="44">
        <f t="shared" si="153"/>
        <v>756.63434877800012</v>
      </c>
      <c r="K451" s="70">
        <v>1.0640000000000001</v>
      </c>
      <c r="L451" s="44">
        <f t="shared" si="141"/>
        <v>711.12250825000012</v>
      </c>
      <c r="M451" s="47">
        <v>1.07</v>
      </c>
      <c r="N451" s="44">
        <f t="shared" si="154"/>
        <v>664.60047500000007</v>
      </c>
      <c r="O451" s="70">
        <v>1.075</v>
      </c>
      <c r="P451" s="44">
        <f t="shared" si="155"/>
        <v>618.23300000000006</v>
      </c>
      <c r="Q451" s="70">
        <v>1.085</v>
      </c>
      <c r="R451" s="44">
        <f t="shared" si="156"/>
        <v>569.80000000000007</v>
      </c>
      <c r="S451" s="44">
        <f t="shared" si="157"/>
        <v>569.80000000000007</v>
      </c>
      <c r="T451" s="50">
        <v>1.1000000000000001</v>
      </c>
      <c r="U451" s="44">
        <f t="shared" si="157"/>
        <v>913.10109619559717</v>
      </c>
      <c r="V451" s="15">
        <f t="shared" si="158"/>
        <v>859.79387589039277</v>
      </c>
      <c r="W451" s="260">
        <f t="shared" si="159"/>
        <v>859.79387589039277</v>
      </c>
      <c r="X451" s="132">
        <f>1102*106.5%</f>
        <v>1173.6299999999999</v>
      </c>
    </row>
    <row r="452" spans="1:24" ht="14.1" customHeight="1" x14ac:dyDescent="0.25">
      <c r="A452" s="363"/>
      <c r="B452" s="33" t="s">
        <v>313</v>
      </c>
      <c r="C452" s="41">
        <v>624</v>
      </c>
      <c r="D452" s="47">
        <f t="shared" si="151"/>
        <v>660.31680000000006</v>
      </c>
      <c r="E452" s="47">
        <f t="shared" si="152"/>
        <v>660</v>
      </c>
      <c r="F452" s="47">
        <f t="shared" si="140"/>
        <v>720.72</v>
      </c>
      <c r="G452" s="44">
        <v>793</v>
      </c>
      <c r="H452" s="53">
        <f t="shared" si="144"/>
        <v>1230.1384613377863</v>
      </c>
      <c r="I452" s="70">
        <v>1.0620000000000001</v>
      </c>
      <c r="J452" s="44">
        <f t="shared" si="153"/>
        <v>1158.3224683030003</v>
      </c>
      <c r="K452" s="70">
        <v>1.0640000000000001</v>
      </c>
      <c r="L452" s="44">
        <f t="shared" si="141"/>
        <v>1088.6489363750002</v>
      </c>
      <c r="M452" s="47">
        <v>1.07</v>
      </c>
      <c r="N452" s="44">
        <f t="shared" si="154"/>
        <v>1017.4289125</v>
      </c>
      <c r="O452" s="70">
        <v>1.075</v>
      </c>
      <c r="P452" s="44">
        <f t="shared" si="155"/>
        <v>946.44550000000004</v>
      </c>
      <c r="Q452" s="70">
        <v>1.085</v>
      </c>
      <c r="R452" s="44">
        <f t="shared" si="156"/>
        <v>872.30000000000007</v>
      </c>
      <c r="S452" s="44">
        <f t="shared" si="157"/>
        <v>872.30000000000007</v>
      </c>
      <c r="T452" s="50">
        <v>1.1000000000000001</v>
      </c>
      <c r="U452" s="44">
        <f t="shared" si="157"/>
        <v>1397.8555391565803</v>
      </c>
      <c r="V452" s="15">
        <f t="shared" si="158"/>
        <v>1316.2481536314315</v>
      </c>
      <c r="W452" s="260">
        <f t="shared" si="159"/>
        <v>1316.2481536314315</v>
      </c>
      <c r="X452" s="132">
        <f>1686*106.5%</f>
        <v>1795.59</v>
      </c>
    </row>
    <row r="453" spans="1:24" ht="14.1" customHeight="1" x14ac:dyDescent="0.25">
      <c r="A453" s="363"/>
      <c r="B453" s="33" t="s">
        <v>321</v>
      </c>
      <c r="C453" s="41">
        <v>578</v>
      </c>
      <c r="D453" s="47">
        <f t="shared" si="151"/>
        <v>611.63959999999997</v>
      </c>
      <c r="E453" s="47">
        <f t="shared" si="152"/>
        <v>612</v>
      </c>
      <c r="F453" s="47">
        <f t="shared" si="140"/>
        <v>668.30400000000009</v>
      </c>
      <c r="G453" s="44">
        <v>735</v>
      </c>
      <c r="H453" s="53">
        <f t="shared" si="144"/>
        <v>1140.1661653004703</v>
      </c>
      <c r="I453" s="70">
        <v>1.0620000000000001</v>
      </c>
      <c r="J453" s="44">
        <f t="shared" si="153"/>
        <v>1073.6027921850002</v>
      </c>
      <c r="K453" s="70">
        <v>1.0640000000000001</v>
      </c>
      <c r="L453" s="44">
        <f t="shared" si="141"/>
        <v>1009.0251806250001</v>
      </c>
      <c r="M453" s="47">
        <v>1.07</v>
      </c>
      <c r="N453" s="44">
        <f t="shared" si="154"/>
        <v>943.01418750000005</v>
      </c>
      <c r="O453" s="70">
        <v>1.075</v>
      </c>
      <c r="P453" s="44">
        <f t="shared" si="155"/>
        <v>877.22250000000008</v>
      </c>
      <c r="Q453" s="70">
        <v>1.085</v>
      </c>
      <c r="R453" s="44">
        <f t="shared" si="156"/>
        <v>808.50000000000011</v>
      </c>
      <c r="S453" s="44">
        <f t="shared" si="157"/>
        <v>808.50000000000011</v>
      </c>
      <c r="T453" s="50">
        <v>1.1000000000000001</v>
      </c>
      <c r="U453" s="44">
        <f t="shared" si="157"/>
        <v>1295.6164202775367</v>
      </c>
      <c r="V453" s="15">
        <f t="shared" si="158"/>
        <v>1219.9777968715034</v>
      </c>
      <c r="W453" s="260">
        <f t="shared" si="159"/>
        <v>1219.9777968715034</v>
      </c>
      <c r="X453" s="132">
        <f>1565*106.5%</f>
        <v>1666.7249999999999</v>
      </c>
    </row>
    <row r="454" spans="1:24" ht="14.1" customHeight="1" x14ac:dyDescent="0.25">
      <c r="A454" s="363"/>
      <c r="B454" s="33" t="s">
        <v>322</v>
      </c>
      <c r="C454" s="41">
        <v>885</v>
      </c>
      <c r="D454" s="47">
        <f t="shared" si="151"/>
        <v>936.50700000000006</v>
      </c>
      <c r="E454" s="47">
        <f t="shared" si="152"/>
        <v>937</v>
      </c>
      <c r="F454" s="47">
        <f t="shared" si="140"/>
        <v>1023.2040000000001</v>
      </c>
      <c r="G454" s="44">
        <v>1125</v>
      </c>
      <c r="H454" s="53">
        <f t="shared" si="144"/>
        <v>1745.1522938272501</v>
      </c>
      <c r="I454" s="70">
        <v>1.0620000000000001</v>
      </c>
      <c r="J454" s="44">
        <f t="shared" si="153"/>
        <v>1643.2695798750001</v>
      </c>
      <c r="K454" s="70">
        <v>1.0640000000000001</v>
      </c>
      <c r="L454" s="44">
        <f t="shared" si="141"/>
        <v>1544.4262968749999</v>
      </c>
      <c r="M454" s="47">
        <v>1.07</v>
      </c>
      <c r="N454" s="44">
        <f t="shared" si="154"/>
        <v>1443.3890624999999</v>
      </c>
      <c r="O454" s="70">
        <v>1.075</v>
      </c>
      <c r="P454" s="44">
        <f t="shared" si="155"/>
        <v>1342.6875</v>
      </c>
      <c r="Q454" s="70">
        <v>1.085</v>
      </c>
      <c r="R454" s="44">
        <f t="shared" si="156"/>
        <v>1237.5</v>
      </c>
      <c r="S454" s="44">
        <f t="shared" si="157"/>
        <v>1237.5</v>
      </c>
      <c r="T454" s="50">
        <v>1.1000000000000001</v>
      </c>
      <c r="U454" s="44">
        <f t="shared" si="157"/>
        <v>1983.0863575676576</v>
      </c>
      <c r="V454" s="15">
        <f t="shared" si="158"/>
        <v>1867.3129543951577</v>
      </c>
      <c r="W454" s="260">
        <f t="shared" si="159"/>
        <v>1867.3129543951577</v>
      </c>
      <c r="X454" s="132">
        <f>2395*106.5%</f>
        <v>2550.6749999999997</v>
      </c>
    </row>
    <row r="455" spans="1:24" ht="14.1" customHeight="1" x14ac:dyDescent="0.25">
      <c r="A455" s="363"/>
      <c r="B455" s="33" t="s">
        <v>323</v>
      </c>
      <c r="C455" s="41">
        <v>1263</v>
      </c>
      <c r="D455" s="47">
        <f>C455*1.0582</f>
        <v>1336.5065999999999</v>
      </c>
      <c r="E455" s="47">
        <f t="shared" si="152"/>
        <v>1337</v>
      </c>
      <c r="F455" s="47">
        <f>E455*1.092</f>
        <v>1460.0040000000001</v>
      </c>
      <c r="G455" s="44">
        <v>1606</v>
      </c>
      <c r="H455" s="53">
        <f t="shared" si="144"/>
        <v>2491.3018523436126</v>
      </c>
      <c r="I455" s="70">
        <v>1.0620000000000001</v>
      </c>
      <c r="J455" s="44">
        <f t="shared" si="153"/>
        <v>2345.8586180260004</v>
      </c>
      <c r="K455" s="70">
        <v>1.0640000000000001</v>
      </c>
      <c r="L455" s="44">
        <f t="shared" si="141"/>
        <v>2204.75434025</v>
      </c>
      <c r="M455" s="47">
        <v>1.07</v>
      </c>
      <c r="N455" s="44">
        <f t="shared" si="154"/>
        <v>2060.518075</v>
      </c>
      <c r="O455" s="70">
        <v>1.075</v>
      </c>
      <c r="P455" s="44">
        <f t="shared" si="155"/>
        <v>1916.7610000000002</v>
      </c>
      <c r="Q455" s="70">
        <v>1.085</v>
      </c>
      <c r="R455" s="44">
        <f t="shared" si="156"/>
        <v>1766.6000000000001</v>
      </c>
      <c r="S455" s="44">
        <f t="shared" si="157"/>
        <v>1766.6000000000001</v>
      </c>
      <c r="T455" s="50">
        <v>1.1000000000000001</v>
      </c>
      <c r="U455" s="44">
        <f t="shared" si="157"/>
        <v>2830.9659468921413</v>
      </c>
      <c r="V455" s="15">
        <f t="shared" si="158"/>
        <v>2665.6929820076657</v>
      </c>
      <c r="W455" s="260">
        <f t="shared" si="159"/>
        <v>2665.6929820076657</v>
      </c>
      <c r="X455" s="132">
        <f>3419*106.5%</f>
        <v>3641.2349999999997</v>
      </c>
    </row>
    <row r="456" spans="1:24" x14ac:dyDescent="0.25">
      <c r="A456" s="363"/>
      <c r="B456" s="33" t="s">
        <v>161</v>
      </c>
      <c r="C456" s="47">
        <v>439.73881844256016</v>
      </c>
      <c r="D456" s="284"/>
      <c r="E456" s="47">
        <v>765</v>
      </c>
      <c r="F456" s="47">
        <f>E456*1.092</f>
        <v>835.38000000000011</v>
      </c>
      <c r="G456" s="44">
        <v>919</v>
      </c>
      <c r="H456" s="53">
        <f t="shared" si="144"/>
        <v>1425.5955182464384</v>
      </c>
      <c r="I456" s="70">
        <v>1.0620000000000001</v>
      </c>
      <c r="J456" s="44">
        <f t="shared" si="153"/>
        <v>1342.3686612490003</v>
      </c>
      <c r="K456" s="70">
        <v>1.0640000000000001</v>
      </c>
      <c r="L456" s="44">
        <f t="shared" si="141"/>
        <v>1261.6246816250002</v>
      </c>
      <c r="M456" s="47">
        <v>1.07</v>
      </c>
      <c r="N456" s="44">
        <f t="shared" si="154"/>
        <v>1179.0884875000002</v>
      </c>
      <c r="O456" s="70">
        <v>1.075</v>
      </c>
      <c r="P456" s="44">
        <f t="shared" si="155"/>
        <v>1096.8265000000001</v>
      </c>
      <c r="Q456" s="70">
        <v>1.085</v>
      </c>
      <c r="R456" s="44">
        <f t="shared" si="156"/>
        <v>1010.9000000000001</v>
      </c>
      <c r="S456" s="44">
        <f t="shared" si="157"/>
        <v>1010.9000000000001</v>
      </c>
      <c r="T456" s="50">
        <v>1.1000000000000001</v>
      </c>
      <c r="U456" s="44">
        <f t="shared" si="157"/>
        <v>1619.961211204158</v>
      </c>
      <c r="V456" s="15">
        <f t="shared" si="158"/>
        <v>1525.3872045236892</v>
      </c>
      <c r="W456" s="260">
        <f t="shared" si="159"/>
        <v>1525.3872045236892</v>
      </c>
      <c r="X456" s="132">
        <f>1955*106.5%</f>
        <v>2082.0749999999998</v>
      </c>
    </row>
    <row r="457" spans="1:24" x14ac:dyDescent="0.25">
      <c r="A457" s="363"/>
      <c r="B457" s="33" t="s">
        <v>162</v>
      </c>
      <c r="C457" s="47">
        <v>823.50288558720024</v>
      </c>
      <c r="D457" s="284"/>
      <c r="E457" s="47">
        <f>C457*1.0582</f>
        <v>871.43075352837536</v>
      </c>
      <c r="F457" s="47">
        <f>E457*1.092</f>
        <v>951.60238285298601</v>
      </c>
      <c r="G457" s="44">
        <v>1047</v>
      </c>
      <c r="H457" s="53">
        <f t="shared" si="144"/>
        <v>1624.1550681218941</v>
      </c>
      <c r="I457" s="70">
        <v>1.0620000000000001</v>
      </c>
      <c r="J457" s="44">
        <f t="shared" si="153"/>
        <v>1529.336222337</v>
      </c>
      <c r="K457" s="70">
        <v>1.0640000000000001</v>
      </c>
      <c r="L457" s="44">
        <f t="shared" si="141"/>
        <v>1437.3460736249999</v>
      </c>
      <c r="M457" s="47">
        <v>1.07</v>
      </c>
      <c r="N457" s="44">
        <f t="shared" si="154"/>
        <v>1343.3140874999999</v>
      </c>
      <c r="O457" s="70">
        <v>1.075</v>
      </c>
      <c r="P457" s="44">
        <f t="shared" si="155"/>
        <v>1249.5944999999999</v>
      </c>
      <c r="Q457" s="70">
        <v>1.085</v>
      </c>
      <c r="R457" s="44">
        <f t="shared" si="156"/>
        <v>1151.7</v>
      </c>
      <c r="S457" s="44">
        <f t="shared" si="157"/>
        <v>1151.7</v>
      </c>
      <c r="T457" s="50">
        <v>1.1000000000000001</v>
      </c>
      <c r="U457" s="44">
        <f t="shared" si="157"/>
        <v>1845.5923701096335</v>
      </c>
      <c r="V457" s="15">
        <f t="shared" si="158"/>
        <v>1737.8459228904269</v>
      </c>
      <c r="W457" s="260">
        <f t="shared" si="159"/>
        <v>1737.8459228904269</v>
      </c>
      <c r="X457" s="132">
        <f>2230*106.5%</f>
        <v>2374.9499999999998</v>
      </c>
    </row>
    <row r="458" spans="1:24" x14ac:dyDescent="0.25">
      <c r="A458" s="363"/>
      <c r="B458" s="33" t="s">
        <v>163</v>
      </c>
      <c r="C458" s="47">
        <v>657.1904700816001</v>
      </c>
      <c r="D458" s="284"/>
      <c r="E458" s="47">
        <f>C458*1.0582</f>
        <v>695.43895544034922</v>
      </c>
      <c r="F458" s="47">
        <f>E458*1.092</f>
        <v>759.41933934086137</v>
      </c>
      <c r="G458" s="44">
        <v>835</v>
      </c>
      <c r="H458" s="53">
        <f t="shared" si="144"/>
        <v>1295.2908136406704</v>
      </c>
      <c r="I458" s="70">
        <v>1.0620000000000001</v>
      </c>
      <c r="J458" s="44">
        <f t="shared" si="153"/>
        <v>1219.6711992850003</v>
      </c>
      <c r="K458" s="70">
        <v>1.0640000000000001</v>
      </c>
      <c r="L458" s="44">
        <f t="shared" si="141"/>
        <v>1146.3075181250001</v>
      </c>
      <c r="M458" s="47">
        <v>1.07</v>
      </c>
      <c r="N458" s="44">
        <f t="shared" si="154"/>
        <v>1071.3154375000001</v>
      </c>
      <c r="O458" s="70">
        <v>1.075</v>
      </c>
      <c r="P458" s="44">
        <f t="shared" si="155"/>
        <v>996.5725000000001</v>
      </c>
      <c r="Q458" s="70">
        <v>1.085</v>
      </c>
      <c r="R458" s="44">
        <f t="shared" si="156"/>
        <v>918.50000000000011</v>
      </c>
      <c r="S458" s="44">
        <f t="shared" si="157"/>
        <v>918.50000000000011</v>
      </c>
      <c r="T458" s="50">
        <v>1.1000000000000001</v>
      </c>
      <c r="U458" s="44">
        <f t="shared" si="157"/>
        <v>1471.8907631724396</v>
      </c>
      <c r="V458" s="15">
        <f t="shared" si="158"/>
        <v>1385.9611705955174</v>
      </c>
      <c r="W458" s="260">
        <f t="shared" si="159"/>
        <v>1385.9611705955174</v>
      </c>
      <c r="X458" s="132">
        <f>1777*106.5%</f>
        <v>1892.5049999999999</v>
      </c>
    </row>
    <row r="459" spans="1:24" x14ac:dyDescent="0.25">
      <c r="A459" s="362" t="s">
        <v>177</v>
      </c>
      <c r="B459" s="384" t="s">
        <v>314</v>
      </c>
      <c r="C459" s="385"/>
      <c r="D459" s="385"/>
      <c r="E459" s="385"/>
      <c r="F459" s="385"/>
      <c r="G459" s="385"/>
      <c r="H459" s="385"/>
      <c r="I459" s="385"/>
      <c r="J459" s="386"/>
      <c r="K459" s="47"/>
      <c r="L459" s="44"/>
      <c r="M459" s="47"/>
      <c r="N459" s="44"/>
      <c r="O459" s="70"/>
      <c r="P459" s="44"/>
      <c r="Q459" s="70"/>
      <c r="R459" s="44"/>
      <c r="S459" s="67"/>
      <c r="T459" s="50"/>
      <c r="U459" s="67"/>
      <c r="X459" s="132"/>
    </row>
    <row r="460" spans="1:24" x14ac:dyDescent="0.25">
      <c r="A460" s="363"/>
      <c r="B460" s="128" t="s">
        <v>324</v>
      </c>
      <c r="C460" s="41"/>
      <c r="D460" s="47"/>
      <c r="E460" s="47"/>
      <c r="F460" s="47">
        <f>E459*1.092</f>
        <v>0</v>
      </c>
      <c r="G460" s="44">
        <v>44</v>
      </c>
      <c r="H460" s="53">
        <f t="shared" si="144"/>
        <v>70.511203791</v>
      </c>
      <c r="I460" s="70">
        <v>1.0620000000000001</v>
      </c>
      <c r="J460" s="44">
        <f t="shared" ref="J460:J467" si="160">K460*L460</f>
        <v>66.394730499999994</v>
      </c>
      <c r="K460" s="70">
        <v>1.0640000000000001</v>
      </c>
      <c r="L460" s="44">
        <f t="shared" si="141"/>
        <v>62.401062499999995</v>
      </c>
      <c r="M460" s="47">
        <v>1.07</v>
      </c>
      <c r="N460" s="44">
        <f t="shared" ref="N460:N467" si="161">O460*P460</f>
        <v>58.318749999999994</v>
      </c>
      <c r="O460" s="70">
        <v>1.075</v>
      </c>
      <c r="P460" s="44">
        <f t="shared" si="155"/>
        <v>54.25</v>
      </c>
      <c r="Q460" s="70">
        <v>1.085</v>
      </c>
      <c r="R460" s="44">
        <f t="shared" ref="R460:R467" si="162">S460</f>
        <v>50</v>
      </c>
      <c r="S460" s="44">
        <v>50</v>
      </c>
      <c r="T460" s="50">
        <v>1.1000000000000001</v>
      </c>
      <c r="U460" s="44">
        <v>-47.8</v>
      </c>
      <c r="V460" s="15">
        <f t="shared" ref="V460:V471" si="163">H460*107%</f>
        <v>75.446988056370003</v>
      </c>
      <c r="W460" s="260">
        <f t="shared" ref="W460:W471" si="164">V460</f>
        <v>75.446988056370003</v>
      </c>
      <c r="X460" s="132">
        <f>97*106.5%</f>
        <v>103.30499999999999</v>
      </c>
    </row>
    <row r="461" spans="1:24" x14ac:dyDescent="0.25">
      <c r="A461" s="363"/>
      <c r="B461" s="33" t="s">
        <v>325</v>
      </c>
      <c r="C461" s="41">
        <v>52.2</v>
      </c>
      <c r="D461" s="47">
        <f t="shared" si="151"/>
        <v>55.238040000000005</v>
      </c>
      <c r="E461" s="284"/>
      <c r="F461" s="284"/>
      <c r="G461" s="44">
        <v>66</v>
      </c>
      <c r="H461" s="53">
        <f t="shared" si="144"/>
        <v>102.38226790453203</v>
      </c>
      <c r="I461" s="70">
        <v>1.0620000000000001</v>
      </c>
      <c r="J461" s="44">
        <f t="shared" si="160"/>
        <v>96.405148686000018</v>
      </c>
      <c r="K461" s="70">
        <v>1.0640000000000001</v>
      </c>
      <c r="L461" s="44">
        <f t="shared" si="141"/>
        <v>90.60634275000001</v>
      </c>
      <c r="M461" s="47">
        <v>1.07</v>
      </c>
      <c r="N461" s="44">
        <f t="shared" si="161"/>
        <v>84.678825000000003</v>
      </c>
      <c r="O461" s="70">
        <v>1.075</v>
      </c>
      <c r="P461" s="44">
        <f t="shared" si="155"/>
        <v>78.771000000000001</v>
      </c>
      <c r="Q461" s="70">
        <v>1.085</v>
      </c>
      <c r="R461" s="44">
        <f t="shared" si="162"/>
        <v>72.600000000000009</v>
      </c>
      <c r="S461" s="44">
        <f t="shared" ref="S461:U467" si="165">G461*T461</f>
        <v>72.600000000000009</v>
      </c>
      <c r="T461" s="50">
        <v>1.1000000000000001</v>
      </c>
      <c r="U461" s="44">
        <f t="shared" si="165"/>
        <v>116.34106631063594</v>
      </c>
      <c r="V461" s="15">
        <f t="shared" si="163"/>
        <v>109.54902665784928</v>
      </c>
      <c r="W461" s="260">
        <f t="shared" si="164"/>
        <v>109.54902665784928</v>
      </c>
      <c r="X461" s="132">
        <f>141*106.5%</f>
        <v>150.16499999999999</v>
      </c>
    </row>
    <row r="462" spans="1:24" x14ac:dyDescent="0.25">
      <c r="A462" s="363"/>
      <c r="B462" s="33" t="s">
        <v>326</v>
      </c>
      <c r="C462" s="41">
        <v>70.099999999999994</v>
      </c>
      <c r="D462" s="47">
        <f t="shared" si="151"/>
        <v>74.179819999999992</v>
      </c>
      <c r="E462" s="47">
        <f>ROUND(D462,0)</f>
        <v>74</v>
      </c>
      <c r="F462" s="47">
        <f t="shared" si="140"/>
        <v>80.808000000000007</v>
      </c>
      <c r="G462" s="44">
        <v>89</v>
      </c>
      <c r="H462" s="53">
        <f t="shared" si="144"/>
        <v>138.06093702277803</v>
      </c>
      <c r="I462" s="70">
        <v>1.0620000000000001</v>
      </c>
      <c r="J462" s="44">
        <f t="shared" si="160"/>
        <v>130.00088231900003</v>
      </c>
      <c r="K462" s="70">
        <v>1.0640000000000001</v>
      </c>
      <c r="L462" s="44">
        <f t="shared" si="141"/>
        <v>122.18128037500001</v>
      </c>
      <c r="M462" s="47">
        <v>1.07</v>
      </c>
      <c r="N462" s="44">
        <f t="shared" si="161"/>
        <v>114.1881125</v>
      </c>
      <c r="O462" s="70">
        <v>1.075</v>
      </c>
      <c r="P462" s="44">
        <f t="shared" si="155"/>
        <v>106.22150000000001</v>
      </c>
      <c r="Q462" s="70">
        <v>1.085</v>
      </c>
      <c r="R462" s="44">
        <f t="shared" si="162"/>
        <v>97.9</v>
      </c>
      <c r="S462" s="44">
        <f t="shared" si="165"/>
        <v>97.9</v>
      </c>
      <c r="T462" s="50">
        <v>1.1000000000000001</v>
      </c>
      <c r="U462" s="44">
        <f t="shared" si="165"/>
        <v>156.8841651764636</v>
      </c>
      <c r="V462" s="15">
        <f t="shared" si="163"/>
        <v>147.72520261437251</v>
      </c>
      <c r="W462" s="260">
        <f t="shared" si="164"/>
        <v>147.72520261437251</v>
      </c>
      <c r="X462" s="132">
        <f>189*106.5%</f>
        <v>201.285</v>
      </c>
    </row>
    <row r="463" spans="1:24" x14ac:dyDescent="0.25">
      <c r="A463" s="363"/>
      <c r="B463" s="33" t="s">
        <v>327</v>
      </c>
      <c r="C463" s="41">
        <v>106</v>
      </c>
      <c r="D463" s="47">
        <f t="shared" si="151"/>
        <v>112.1692</v>
      </c>
      <c r="E463" s="47">
        <f>ROUND(D463,0)</f>
        <v>112</v>
      </c>
      <c r="F463" s="47">
        <f t="shared" si="140"/>
        <v>122.304</v>
      </c>
      <c r="G463" s="44">
        <v>135</v>
      </c>
      <c r="H463" s="53">
        <f t="shared" si="144"/>
        <v>209.41827525927002</v>
      </c>
      <c r="I463" s="70">
        <v>1.0620000000000001</v>
      </c>
      <c r="J463" s="44">
        <f t="shared" si="160"/>
        <v>197.19234958500002</v>
      </c>
      <c r="K463" s="70">
        <v>1.0640000000000001</v>
      </c>
      <c r="L463" s="44">
        <f t="shared" si="141"/>
        <v>185.33115562500001</v>
      </c>
      <c r="M463" s="47">
        <v>1.07</v>
      </c>
      <c r="N463" s="44">
        <f t="shared" si="161"/>
        <v>173.20668749999999</v>
      </c>
      <c r="O463" s="70">
        <v>1.075</v>
      </c>
      <c r="P463" s="44">
        <f t="shared" si="155"/>
        <v>161.1225</v>
      </c>
      <c r="Q463" s="70">
        <v>1.085</v>
      </c>
      <c r="R463" s="44">
        <f t="shared" si="162"/>
        <v>148.5</v>
      </c>
      <c r="S463" s="44">
        <f t="shared" si="165"/>
        <v>148.5</v>
      </c>
      <c r="T463" s="50">
        <v>1.1000000000000001</v>
      </c>
      <c r="U463" s="44">
        <f t="shared" si="165"/>
        <v>237.97036290811891</v>
      </c>
      <c r="V463" s="15">
        <f t="shared" si="163"/>
        <v>224.07755452741893</v>
      </c>
      <c r="W463" s="260">
        <f t="shared" si="164"/>
        <v>224.07755452741893</v>
      </c>
      <c r="X463" s="132">
        <f>288*106.5%</f>
        <v>306.71999999999997</v>
      </c>
    </row>
    <row r="464" spans="1:24" x14ac:dyDescent="0.25">
      <c r="A464" s="363"/>
      <c r="B464" s="33" t="s">
        <v>328</v>
      </c>
      <c r="C464" s="41">
        <v>308</v>
      </c>
      <c r="D464" s="47">
        <f t="shared" si="151"/>
        <v>325.92560000000003</v>
      </c>
      <c r="E464" s="47">
        <f>ROUND(D464,0)</f>
        <v>326</v>
      </c>
      <c r="F464" s="47">
        <f t="shared" si="140"/>
        <v>355.99200000000002</v>
      </c>
      <c r="G464" s="44">
        <v>392</v>
      </c>
      <c r="H464" s="53">
        <f t="shared" si="144"/>
        <v>608.08862149358413</v>
      </c>
      <c r="I464" s="70">
        <v>1.0620000000000001</v>
      </c>
      <c r="J464" s="44">
        <f t="shared" si="160"/>
        <v>572.5881558320001</v>
      </c>
      <c r="K464" s="70">
        <v>1.0640000000000001</v>
      </c>
      <c r="L464" s="44">
        <f t="shared" si="141"/>
        <v>538.14676300000008</v>
      </c>
      <c r="M464" s="47">
        <v>1.07</v>
      </c>
      <c r="N464" s="44">
        <f t="shared" si="161"/>
        <v>502.9409</v>
      </c>
      <c r="O464" s="70">
        <v>1.075</v>
      </c>
      <c r="P464" s="44">
        <f t="shared" si="155"/>
        <v>467.85200000000003</v>
      </c>
      <c r="Q464" s="70">
        <v>1.085</v>
      </c>
      <c r="R464" s="44">
        <f t="shared" si="162"/>
        <v>431.20000000000005</v>
      </c>
      <c r="S464" s="44">
        <f t="shared" si="165"/>
        <v>431.20000000000005</v>
      </c>
      <c r="T464" s="50">
        <v>1.1000000000000001</v>
      </c>
      <c r="U464" s="44">
        <f t="shared" si="165"/>
        <v>690.99542414801942</v>
      </c>
      <c r="V464" s="15">
        <f t="shared" si="163"/>
        <v>650.65482499813504</v>
      </c>
      <c r="W464" s="260">
        <f t="shared" si="164"/>
        <v>650.65482499813504</v>
      </c>
      <c r="X464" s="132">
        <f>834*106.5%</f>
        <v>888.20999999999992</v>
      </c>
    </row>
    <row r="465" spans="1:24" x14ac:dyDescent="0.25">
      <c r="A465" s="363"/>
      <c r="B465" s="33" t="s">
        <v>329</v>
      </c>
      <c r="C465" s="41">
        <v>388</v>
      </c>
      <c r="D465" s="47">
        <f>C465*1.0582</f>
        <v>410.58160000000004</v>
      </c>
      <c r="E465" s="47">
        <f>ROUND(D465,0)</f>
        <v>411</v>
      </c>
      <c r="F465" s="47">
        <f>E465*1.092</f>
        <v>448.81200000000001</v>
      </c>
      <c r="G465" s="44">
        <v>494</v>
      </c>
      <c r="H465" s="53">
        <f t="shared" si="144"/>
        <v>766.31576280058812</v>
      </c>
      <c r="I465" s="70">
        <v>1.0620000000000001</v>
      </c>
      <c r="J465" s="44">
        <f t="shared" si="160"/>
        <v>721.57793107400005</v>
      </c>
      <c r="K465" s="70">
        <v>1.0640000000000001</v>
      </c>
      <c r="L465" s="44">
        <f t="shared" si="141"/>
        <v>678.17474725</v>
      </c>
      <c r="M465" s="47">
        <v>1.07</v>
      </c>
      <c r="N465" s="44">
        <f t="shared" si="161"/>
        <v>633.80817500000001</v>
      </c>
      <c r="O465" s="70">
        <v>1.075</v>
      </c>
      <c r="P465" s="44">
        <f t="shared" si="155"/>
        <v>589.58900000000006</v>
      </c>
      <c r="Q465" s="70">
        <v>1.085</v>
      </c>
      <c r="R465" s="44">
        <f t="shared" si="162"/>
        <v>543.40000000000009</v>
      </c>
      <c r="S465" s="44">
        <f t="shared" si="165"/>
        <v>543.40000000000009</v>
      </c>
      <c r="T465" s="50">
        <v>1.1000000000000001</v>
      </c>
      <c r="U465" s="44">
        <f t="shared" si="165"/>
        <v>870.7952539008204</v>
      </c>
      <c r="V465" s="15">
        <f t="shared" si="163"/>
        <v>819.95786619662931</v>
      </c>
      <c r="W465" s="260">
        <f t="shared" si="164"/>
        <v>819.95786619662931</v>
      </c>
      <c r="X465" s="132">
        <f>1051*106.5%</f>
        <v>1119.3150000000001</v>
      </c>
    </row>
    <row r="466" spans="1:24" x14ac:dyDescent="0.25">
      <c r="A466" s="363"/>
      <c r="B466" s="128" t="s">
        <v>169</v>
      </c>
      <c r="C466" s="284"/>
      <c r="D466" s="284"/>
      <c r="E466" s="284"/>
      <c r="F466" s="284"/>
      <c r="G466" s="44">
        <v>1200</v>
      </c>
      <c r="H466" s="53">
        <f t="shared" si="144"/>
        <v>1861.4957800824002</v>
      </c>
      <c r="I466" s="70">
        <v>1.0620000000000001</v>
      </c>
      <c r="J466" s="44">
        <f t="shared" si="160"/>
        <v>1752.8208852</v>
      </c>
      <c r="K466" s="70">
        <v>1.0640000000000001</v>
      </c>
      <c r="L466" s="44">
        <f t="shared" si="141"/>
        <v>1647.38805</v>
      </c>
      <c r="M466" s="47">
        <v>1.07</v>
      </c>
      <c r="N466" s="44">
        <f t="shared" si="161"/>
        <v>1539.615</v>
      </c>
      <c r="O466" s="70">
        <v>1.075</v>
      </c>
      <c r="P466" s="44">
        <f t="shared" si="155"/>
        <v>1432.2</v>
      </c>
      <c r="Q466" s="70">
        <v>1.085</v>
      </c>
      <c r="R466" s="44">
        <f t="shared" si="162"/>
        <v>1320</v>
      </c>
      <c r="S466" s="44">
        <f t="shared" si="165"/>
        <v>1320</v>
      </c>
      <c r="T466" s="96">
        <v>1.1000000000000001</v>
      </c>
      <c r="U466" s="44">
        <f t="shared" si="165"/>
        <v>2115.2921147388347</v>
      </c>
      <c r="V466" s="15">
        <f t="shared" si="163"/>
        <v>1991.8004846881684</v>
      </c>
      <c r="W466" s="260">
        <f t="shared" si="164"/>
        <v>1991.8004846881684</v>
      </c>
      <c r="X466" s="132">
        <f>2556*106.5%</f>
        <v>2722.14</v>
      </c>
    </row>
    <row r="467" spans="1:24" x14ac:dyDescent="0.25">
      <c r="A467" s="363"/>
      <c r="B467" s="33" t="s">
        <v>170</v>
      </c>
      <c r="C467" s="41">
        <v>308</v>
      </c>
      <c r="D467" s="47">
        <f t="shared" si="151"/>
        <v>325.92560000000003</v>
      </c>
      <c r="E467" s="47">
        <f>ROUND(D467,0)</f>
        <v>326</v>
      </c>
      <c r="F467" s="47">
        <f t="shared" si="140"/>
        <v>355.99200000000002</v>
      </c>
      <c r="G467" s="44">
        <v>392</v>
      </c>
      <c r="H467" s="53">
        <f t="shared" si="144"/>
        <v>608.08862149358413</v>
      </c>
      <c r="I467" s="70">
        <v>1.0620000000000001</v>
      </c>
      <c r="J467" s="44">
        <f t="shared" si="160"/>
        <v>572.5881558320001</v>
      </c>
      <c r="K467" s="70">
        <v>1.0640000000000001</v>
      </c>
      <c r="L467" s="44">
        <f t="shared" si="141"/>
        <v>538.14676300000008</v>
      </c>
      <c r="M467" s="47">
        <v>1.07</v>
      </c>
      <c r="N467" s="44">
        <f t="shared" si="161"/>
        <v>502.9409</v>
      </c>
      <c r="O467" s="70">
        <v>1.075</v>
      </c>
      <c r="P467" s="44">
        <f t="shared" si="155"/>
        <v>467.85200000000003</v>
      </c>
      <c r="Q467" s="70">
        <v>1.085</v>
      </c>
      <c r="R467" s="44">
        <f t="shared" si="162"/>
        <v>431.20000000000005</v>
      </c>
      <c r="S467" s="44">
        <f t="shared" si="165"/>
        <v>431.20000000000005</v>
      </c>
      <c r="T467" s="50">
        <v>1.1000000000000001</v>
      </c>
      <c r="U467" s="44">
        <f t="shared" si="165"/>
        <v>690.99542414801942</v>
      </c>
      <c r="V467" s="15">
        <f t="shared" si="163"/>
        <v>650.65482499813504</v>
      </c>
      <c r="W467" s="260">
        <f t="shared" si="164"/>
        <v>650.65482499813504</v>
      </c>
      <c r="X467" s="132">
        <f>834*106.5%</f>
        <v>888.20999999999992</v>
      </c>
    </row>
    <row r="468" spans="1:24" x14ac:dyDescent="0.25">
      <c r="A468" s="362" t="s">
        <v>178</v>
      </c>
      <c r="B468" s="345" t="s">
        <v>600</v>
      </c>
      <c r="C468" s="346"/>
      <c r="D468" s="346"/>
      <c r="E468" s="346"/>
      <c r="F468" s="346"/>
      <c r="G468" s="346"/>
      <c r="H468" s="346"/>
      <c r="I468" s="346"/>
      <c r="J468" s="347"/>
      <c r="K468" s="47"/>
      <c r="L468" s="44"/>
      <c r="M468" s="47"/>
      <c r="N468" s="44"/>
      <c r="O468" s="70"/>
      <c r="P468" s="44"/>
      <c r="Q468" s="70"/>
      <c r="R468" s="44"/>
      <c r="S468" s="44"/>
      <c r="T468" s="50"/>
      <c r="U468" s="44"/>
      <c r="V468" s="15"/>
      <c r="X468" s="132"/>
    </row>
    <row r="469" spans="1:24" x14ac:dyDescent="0.25">
      <c r="A469" s="363"/>
      <c r="B469" s="59" t="s">
        <v>728</v>
      </c>
      <c r="C469" s="41"/>
      <c r="D469" s="47"/>
      <c r="E469" s="47"/>
      <c r="F469" s="47"/>
      <c r="G469" s="44">
        <v>297</v>
      </c>
      <c r="H469" s="53">
        <f t="shared" si="144"/>
        <v>460.72020557039411</v>
      </c>
      <c r="I469" s="70">
        <v>1.0620000000000001</v>
      </c>
      <c r="J469" s="44">
        <f>K469*L469</f>
        <v>433.82316908700011</v>
      </c>
      <c r="K469" s="70">
        <v>1.0640000000000001</v>
      </c>
      <c r="L469" s="44">
        <f t="shared" si="141"/>
        <v>407.72854237500007</v>
      </c>
      <c r="M469" s="47">
        <v>1.07</v>
      </c>
      <c r="N469" s="44">
        <f>O469*P469</f>
        <v>381.05471250000005</v>
      </c>
      <c r="O469" s="70">
        <v>1.075</v>
      </c>
      <c r="P469" s="44">
        <f t="shared" si="155"/>
        <v>354.46950000000004</v>
      </c>
      <c r="Q469" s="70">
        <v>1.085</v>
      </c>
      <c r="R469" s="44">
        <f>S469</f>
        <v>326.70000000000005</v>
      </c>
      <c r="S469" s="44">
        <f>G469*T469</f>
        <v>326.70000000000005</v>
      </c>
      <c r="T469" s="50">
        <v>1.1000000000000001</v>
      </c>
      <c r="U469" s="44">
        <f>I469*V469</f>
        <v>523.53479839786178</v>
      </c>
      <c r="V469" s="15">
        <f t="shared" si="163"/>
        <v>492.97061996032176</v>
      </c>
      <c r="W469" s="260">
        <f t="shared" si="164"/>
        <v>492.97061996032176</v>
      </c>
      <c r="X469" s="132">
        <f>632*106.5%</f>
        <v>673.07999999999993</v>
      </c>
    </row>
    <row r="470" spans="1:24" x14ac:dyDescent="0.25">
      <c r="A470" s="363"/>
      <c r="B470" s="59" t="s">
        <v>729</v>
      </c>
      <c r="C470" s="41">
        <v>310</v>
      </c>
      <c r="D470" s="47">
        <f t="shared" si="151"/>
        <v>328.04200000000003</v>
      </c>
      <c r="E470" s="47">
        <f>ROUND(D470,0)</f>
        <v>328</v>
      </c>
      <c r="F470" s="47">
        <f t="shared" si="140"/>
        <v>358.17600000000004</v>
      </c>
      <c r="G470" s="44">
        <v>394</v>
      </c>
      <c r="H470" s="53">
        <f t="shared" si="144"/>
        <v>611.19111446038812</v>
      </c>
      <c r="I470" s="70">
        <v>1.0620000000000001</v>
      </c>
      <c r="J470" s="44">
        <f>K470*L470</f>
        <v>575.5095239740001</v>
      </c>
      <c r="K470" s="70">
        <v>1.0640000000000001</v>
      </c>
      <c r="L470" s="44">
        <f t="shared" si="141"/>
        <v>540.89240975000007</v>
      </c>
      <c r="M470" s="47">
        <v>1.07</v>
      </c>
      <c r="N470" s="44">
        <f>O470*P470</f>
        <v>505.50692500000002</v>
      </c>
      <c r="O470" s="70">
        <v>1.075</v>
      </c>
      <c r="P470" s="44">
        <f t="shared" si="155"/>
        <v>470.23900000000003</v>
      </c>
      <c r="Q470" s="70">
        <v>1.085</v>
      </c>
      <c r="R470" s="44">
        <f>S470</f>
        <v>433.40000000000003</v>
      </c>
      <c r="S470" s="44">
        <f>G470*T470</f>
        <v>433.40000000000003</v>
      </c>
      <c r="T470" s="50">
        <v>1.1000000000000001</v>
      </c>
      <c r="U470" s="44">
        <f>I470*V470</f>
        <v>694.52091100591747</v>
      </c>
      <c r="V470" s="15">
        <f t="shared" si="163"/>
        <v>653.97449247261534</v>
      </c>
      <c r="W470" s="260">
        <f t="shared" si="164"/>
        <v>653.97449247261534</v>
      </c>
      <c r="X470" s="132">
        <f>838*106.5%</f>
        <v>892.46999999999991</v>
      </c>
    </row>
    <row r="471" spans="1:24" x14ac:dyDescent="0.25">
      <c r="A471" s="363"/>
      <c r="B471" s="59" t="s">
        <v>730</v>
      </c>
      <c r="C471" s="41">
        <v>470</v>
      </c>
      <c r="D471" s="47">
        <f t="shared" si="151"/>
        <v>497.35400000000004</v>
      </c>
      <c r="E471" s="47">
        <f>ROUND(D471,0)</f>
        <v>497</v>
      </c>
      <c r="F471" s="47">
        <f t="shared" si="140"/>
        <v>542.72400000000005</v>
      </c>
      <c r="G471" s="44">
        <v>598</v>
      </c>
      <c r="H471" s="53">
        <f t="shared" si="144"/>
        <v>927.64539707439633</v>
      </c>
      <c r="I471" s="70">
        <v>1.0620000000000001</v>
      </c>
      <c r="J471" s="44">
        <f>K471*L471</f>
        <v>873.48907445800023</v>
      </c>
      <c r="K471" s="70">
        <v>1.0640000000000001</v>
      </c>
      <c r="L471" s="44">
        <f t="shared" si="141"/>
        <v>820.94837825000013</v>
      </c>
      <c r="M471" s="47">
        <v>1.07</v>
      </c>
      <c r="N471" s="44">
        <f>O471*P471</f>
        <v>767.24147500000004</v>
      </c>
      <c r="O471" s="70">
        <v>1.075</v>
      </c>
      <c r="P471" s="44">
        <f t="shared" si="155"/>
        <v>713.71300000000008</v>
      </c>
      <c r="Q471" s="70">
        <v>1.085</v>
      </c>
      <c r="R471" s="44">
        <f>S471</f>
        <v>657.80000000000007</v>
      </c>
      <c r="S471" s="44">
        <f>G471*T471</f>
        <v>657.80000000000007</v>
      </c>
      <c r="T471" s="50">
        <v>1.1000000000000001</v>
      </c>
      <c r="U471" s="44">
        <f>I471*V471</f>
        <v>1054.1205705115196</v>
      </c>
      <c r="V471" s="15">
        <f t="shared" si="163"/>
        <v>992.58057486960411</v>
      </c>
      <c r="W471" s="260">
        <f t="shared" si="164"/>
        <v>992.58057486960411</v>
      </c>
      <c r="X471" s="132">
        <f>1274*106.5%</f>
        <v>1356.81</v>
      </c>
    </row>
    <row r="472" spans="1:24" ht="14.1" customHeight="1" x14ac:dyDescent="0.25">
      <c r="A472" s="362" t="s">
        <v>179</v>
      </c>
      <c r="B472" s="345" t="s">
        <v>588</v>
      </c>
      <c r="C472" s="346"/>
      <c r="D472" s="346"/>
      <c r="E472" s="346"/>
      <c r="F472" s="346"/>
      <c r="G472" s="346"/>
      <c r="H472" s="346"/>
      <c r="I472" s="346"/>
      <c r="J472" s="347"/>
      <c r="K472" s="47"/>
      <c r="L472" s="44"/>
      <c r="M472" s="47"/>
      <c r="N472" s="44"/>
      <c r="O472" s="70"/>
      <c r="P472" s="44"/>
      <c r="Q472" s="70"/>
      <c r="R472" s="44"/>
      <c r="S472" s="44"/>
      <c r="T472" s="50"/>
      <c r="U472" s="44"/>
      <c r="V472" s="15"/>
      <c r="X472" s="85"/>
    </row>
    <row r="473" spans="1:24" ht="14.1" customHeight="1" x14ac:dyDescent="0.25">
      <c r="A473" s="368"/>
      <c r="B473" s="33" t="s">
        <v>587</v>
      </c>
      <c r="C473" s="41"/>
      <c r="D473" s="47"/>
      <c r="E473" s="47"/>
      <c r="F473" s="47"/>
      <c r="G473" s="44"/>
      <c r="H473" s="53">
        <f t="shared" si="144"/>
        <v>1222.6253760000002</v>
      </c>
      <c r="I473" s="70">
        <v>1.0620000000000001</v>
      </c>
      <c r="J473" s="44">
        <f>L473*K473</f>
        <v>1151.248</v>
      </c>
      <c r="K473" s="70">
        <v>1.0640000000000001</v>
      </c>
      <c r="L473" s="44">
        <v>1082</v>
      </c>
      <c r="M473" s="47">
        <v>1.07</v>
      </c>
      <c r="N473" s="44" t="e">
        <f>O473*P473</f>
        <v>#REF!</v>
      </c>
      <c r="O473" s="70">
        <v>1.075</v>
      </c>
      <c r="P473" s="44" t="e">
        <f t="shared" si="155"/>
        <v>#REF!</v>
      </c>
      <c r="Q473" s="70">
        <v>1.085</v>
      </c>
      <c r="R473" s="44" t="e">
        <f>S473</f>
        <v>#REF!</v>
      </c>
      <c r="S473" s="44" t="e">
        <f>#REF!*T473</f>
        <v>#REF!</v>
      </c>
      <c r="T473" s="50">
        <v>1.1000000000000001</v>
      </c>
      <c r="U473" s="44" t="e">
        <f>#REF!*V473</f>
        <v>#REF!</v>
      </c>
      <c r="V473" s="15">
        <f>H473*107%</f>
        <v>1308.2091523200004</v>
      </c>
      <c r="W473" s="260">
        <f>V473</f>
        <v>1308.2091523200004</v>
      </c>
      <c r="X473" s="132">
        <f>1677*106.5%</f>
        <v>1786.0049999999999</v>
      </c>
    </row>
    <row r="474" spans="1:24" ht="14.1" customHeight="1" x14ac:dyDescent="0.25">
      <c r="A474" s="368"/>
      <c r="B474" s="33" t="s">
        <v>590</v>
      </c>
      <c r="C474" s="41"/>
      <c r="D474" s="47"/>
      <c r="E474" s="47"/>
      <c r="F474" s="47"/>
      <c r="G474" s="44"/>
      <c r="H474" s="53">
        <f t="shared" si="144"/>
        <v>1473.6841592319001</v>
      </c>
      <c r="I474" s="70">
        <v>1.0620000000000001</v>
      </c>
      <c r="J474" s="44">
        <f>K474*L474</f>
        <v>1387.6498674500001</v>
      </c>
      <c r="K474" s="70">
        <v>1.0640000000000001</v>
      </c>
      <c r="L474" s="44">
        <f t="shared" si="141"/>
        <v>1304.18220625</v>
      </c>
      <c r="M474" s="47">
        <v>1.07</v>
      </c>
      <c r="N474" s="44">
        <f>O474*P474</f>
        <v>1218.8618750000001</v>
      </c>
      <c r="O474" s="70">
        <v>1.075</v>
      </c>
      <c r="P474" s="44">
        <f t="shared" si="155"/>
        <v>1133.825</v>
      </c>
      <c r="Q474" s="70">
        <v>1.085</v>
      </c>
      <c r="R474" s="44">
        <f>S474</f>
        <v>1045</v>
      </c>
      <c r="S474" s="44">
        <v>1045</v>
      </c>
      <c r="T474" s="97" t="s">
        <v>589</v>
      </c>
      <c r="U474" s="44">
        <v>1046</v>
      </c>
      <c r="V474" s="15">
        <f>H474*107%</f>
        <v>1576.8420503781333</v>
      </c>
      <c r="W474" s="260">
        <f>V474</f>
        <v>1576.8420503781333</v>
      </c>
      <c r="X474" s="132">
        <f>2023*106.5%</f>
        <v>2154.4949999999999</v>
      </c>
    </row>
    <row r="475" spans="1:24" ht="14.1" customHeight="1" x14ac:dyDescent="0.25">
      <c r="A475" s="362" t="s">
        <v>180</v>
      </c>
      <c r="B475" s="345" t="s">
        <v>333</v>
      </c>
      <c r="C475" s="346"/>
      <c r="D475" s="346"/>
      <c r="E475" s="346"/>
      <c r="F475" s="346"/>
      <c r="G475" s="346"/>
      <c r="H475" s="346"/>
      <c r="I475" s="346"/>
      <c r="J475" s="347"/>
      <c r="K475" s="47"/>
      <c r="L475" s="44"/>
      <c r="M475" s="47"/>
      <c r="N475" s="44"/>
      <c r="O475" s="70"/>
      <c r="P475" s="44"/>
      <c r="Q475" s="70"/>
      <c r="R475" s="44"/>
      <c r="S475" s="67"/>
      <c r="T475" s="50"/>
      <c r="U475" s="67"/>
      <c r="X475" s="132"/>
    </row>
    <row r="476" spans="1:24" ht="14.1" customHeight="1" x14ac:dyDescent="0.25">
      <c r="A476" s="363"/>
      <c r="B476" s="104" t="s">
        <v>601</v>
      </c>
      <c r="C476" s="41"/>
      <c r="D476" s="47"/>
      <c r="E476" s="47">
        <f>ROUND(D475,0)</f>
        <v>0</v>
      </c>
      <c r="F476" s="47">
        <f>E476*1.092</f>
        <v>0</v>
      </c>
      <c r="G476" s="44">
        <v>69</v>
      </c>
      <c r="H476" s="53">
        <f t="shared" si="144"/>
        <v>107.036007354738</v>
      </c>
      <c r="I476" s="70">
        <v>1.0620000000000001</v>
      </c>
      <c r="J476" s="44">
        <f>K476*L476</f>
        <v>100.787200899</v>
      </c>
      <c r="K476" s="70">
        <v>1.0640000000000001</v>
      </c>
      <c r="L476" s="44">
        <f t="shared" si="141"/>
        <v>94.724812874999998</v>
      </c>
      <c r="M476" s="47">
        <v>1.07</v>
      </c>
      <c r="N476" s="44">
        <f>O476*P476</f>
        <v>88.527862499999998</v>
      </c>
      <c r="O476" s="70">
        <v>1.075</v>
      </c>
      <c r="P476" s="44">
        <f t="shared" si="155"/>
        <v>82.351500000000001</v>
      </c>
      <c r="Q476" s="70">
        <v>1.085</v>
      </c>
      <c r="R476" s="44">
        <f>S476</f>
        <v>75.900000000000006</v>
      </c>
      <c r="S476" s="44">
        <f>G476*T476</f>
        <v>75.900000000000006</v>
      </c>
      <c r="T476" s="50">
        <v>1.1000000000000001</v>
      </c>
      <c r="U476" s="44">
        <f>I476*V476</f>
        <v>121.62929659748299</v>
      </c>
      <c r="V476" s="15">
        <f>H476*107%</f>
        <v>114.52852786956967</v>
      </c>
      <c r="W476" s="260">
        <f>V476</f>
        <v>114.52852786956967</v>
      </c>
      <c r="X476" s="132">
        <f>146*106.5%</f>
        <v>155.48999999999998</v>
      </c>
    </row>
    <row r="477" spans="1:24" ht="14.1" customHeight="1" x14ac:dyDescent="0.25">
      <c r="A477" s="363"/>
      <c r="B477" s="33" t="s">
        <v>602</v>
      </c>
      <c r="C477" s="41">
        <v>109</v>
      </c>
      <c r="D477" s="47">
        <f t="shared" si="151"/>
        <v>115.3438</v>
      </c>
      <c r="E477" s="47">
        <f>ROUND(D477,0)</f>
        <v>115</v>
      </c>
      <c r="F477" s="47">
        <f t="shared" ref="F477:F541" si="166">E477*1.092</f>
        <v>125.58000000000001</v>
      </c>
      <c r="G477" s="44">
        <v>139</v>
      </c>
      <c r="H477" s="53">
        <f t="shared" si="144"/>
        <v>219.99495582792002</v>
      </c>
      <c r="I477" s="70">
        <v>1.0620000000000001</v>
      </c>
      <c r="J477" s="44">
        <f>K477*L477</f>
        <v>207.15155916000001</v>
      </c>
      <c r="K477" s="70">
        <v>1.0640000000000001</v>
      </c>
      <c r="L477" s="44">
        <f t="shared" si="141"/>
        <v>194.691315</v>
      </c>
      <c r="M477" s="47">
        <v>1.07</v>
      </c>
      <c r="N477" s="44">
        <f>O477*P477</f>
        <v>181.9545</v>
      </c>
      <c r="O477" s="70">
        <v>1.075</v>
      </c>
      <c r="P477" s="44">
        <f t="shared" si="155"/>
        <v>169.26</v>
      </c>
      <c r="Q477" s="70">
        <v>1.085</v>
      </c>
      <c r="R477" s="44">
        <f>S477</f>
        <v>156</v>
      </c>
      <c r="S477" s="44">
        <v>156</v>
      </c>
      <c r="T477" s="50">
        <v>1.1000000000000001</v>
      </c>
      <c r="U477" s="44">
        <v>-153.80000000000001</v>
      </c>
      <c r="V477" s="15">
        <f>H477*107%</f>
        <v>235.39460273587443</v>
      </c>
      <c r="W477" s="260">
        <f>V477</f>
        <v>235.39460273587443</v>
      </c>
      <c r="X477" s="132">
        <f>301*106.5%</f>
        <v>320.565</v>
      </c>
    </row>
    <row r="478" spans="1:24" ht="14.1" customHeight="1" x14ac:dyDescent="0.25">
      <c r="A478" s="363"/>
      <c r="B478" s="33" t="s">
        <v>603</v>
      </c>
      <c r="C478" s="41">
        <v>165</v>
      </c>
      <c r="D478" s="47">
        <f t="shared" si="151"/>
        <v>174.60300000000001</v>
      </c>
      <c r="E478" s="47">
        <f>ROUND(D478,0)</f>
        <v>175</v>
      </c>
      <c r="F478" s="47">
        <v>320</v>
      </c>
      <c r="G478" s="44">
        <v>352</v>
      </c>
      <c r="H478" s="53">
        <f t="shared" si="144"/>
        <v>546.03876215750415</v>
      </c>
      <c r="I478" s="70">
        <v>1.0620000000000001</v>
      </c>
      <c r="J478" s="44">
        <f>K478*L478</f>
        <v>514.1607929920001</v>
      </c>
      <c r="K478" s="70">
        <v>1.0640000000000001</v>
      </c>
      <c r="L478" s="44">
        <f t="shared" si="141"/>
        <v>483.23382800000007</v>
      </c>
      <c r="M478" s="47">
        <v>1.07</v>
      </c>
      <c r="N478" s="44">
        <f>O478*P478</f>
        <v>451.62040000000002</v>
      </c>
      <c r="O478" s="70">
        <v>1.075</v>
      </c>
      <c r="P478" s="44">
        <f t="shared" si="155"/>
        <v>420.11200000000002</v>
      </c>
      <c r="Q478" s="70">
        <v>1.085</v>
      </c>
      <c r="R478" s="44">
        <f>S478</f>
        <v>387.20000000000005</v>
      </c>
      <c r="S478" s="44">
        <f>G478*T478</f>
        <v>387.20000000000005</v>
      </c>
      <c r="T478" s="50">
        <v>1.1000000000000001</v>
      </c>
      <c r="U478" s="44">
        <f>I478*V478</f>
        <v>620.4856869900583</v>
      </c>
      <c r="V478" s="15">
        <f>H478*107%</f>
        <v>584.26147550852943</v>
      </c>
      <c r="W478" s="260">
        <f>V478</f>
        <v>584.26147550852943</v>
      </c>
      <c r="X478" s="132">
        <f>749*106.5%</f>
        <v>797.68499999999995</v>
      </c>
    </row>
    <row r="479" spans="1:24" ht="14.1" customHeight="1" x14ac:dyDescent="0.25">
      <c r="A479" s="363"/>
      <c r="B479" s="33" t="s">
        <v>604</v>
      </c>
      <c r="C479" s="41">
        <v>175</v>
      </c>
      <c r="D479" s="47">
        <f t="shared" si="151"/>
        <v>185.185</v>
      </c>
      <c r="E479" s="47">
        <v>320</v>
      </c>
      <c r="F479" s="47">
        <f t="shared" si="166"/>
        <v>349.44000000000005</v>
      </c>
      <c r="G479" s="44">
        <v>384</v>
      </c>
      <c r="H479" s="53">
        <f t="shared" si="144"/>
        <v>595.67864962636816</v>
      </c>
      <c r="I479" s="70">
        <v>1.0620000000000001</v>
      </c>
      <c r="J479" s="44">
        <f>K479*L479</f>
        <v>560.90268326400007</v>
      </c>
      <c r="K479" s="70">
        <v>1.0640000000000001</v>
      </c>
      <c r="L479" s="44">
        <f t="shared" si="141"/>
        <v>527.164176</v>
      </c>
      <c r="M479" s="47">
        <v>1.07</v>
      </c>
      <c r="N479" s="44">
        <f>O479*P479</f>
        <v>492.67680000000001</v>
      </c>
      <c r="O479" s="70">
        <v>1.075</v>
      </c>
      <c r="P479" s="44">
        <f t="shared" si="155"/>
        <v>458.30400000000003</v>
      </c>
      <c r="Q479" s="70">
        <v>1.085</v>
      </c>
      <c r="R479" s="44">
        <f>S479</f>
        <v>422.40000000000003</v>
      </c>
      <c r="S479" s="44">
        <f>G479*T479</f>
        <v>422.40000000000003</v>
      </c>
      <c r="T479" s="50">
        <v>1.1000000000000001</v>
      </c>
      <c r="U479" s="44">
        <f>I479*V479</f>
        <v>676.89347671642724</v>
      </c>
      <c r="V479" s="15">
        <f>H479*107%</f>
        <v>637.37615510021396</v>
      </c>
      <c r="W479" s="260">
        <f>V479</f>
        <v>637.37615510021396</v>
      </c>
      <c r="X479" s="132">
        <f>817*106.5%</f>
        <v>870.1049999999999</v>
      </c>
    </row>
    <row r="480" spans="1:24" ht="14.1" customHeight="1" x14ac:dyDescent="0.25">
      <c r="A480" s="363"/>
      <c r="B480" s="33" t="s">
        <v>330</v>
      </c>
      <c r="C480" s="41">
        <v>219</v>
      </c>
      <c r="D480" s="47">
        <f t="shared" si="151"/>
        <v>231.7458</v>
      </c>
      <c r="E480" s="47">
        <v>540</v>
      </c>
      <c r="F480" s="47">
        <f t="shared" si="166"/>
        <v>589.68000000000006</v>
      </c>
      <c r="G480" s="44">
        <v>649</v>
      </c>
      <c r="H480" s="53">
        <f t="shared" si="144"/>
        <v>1006.7589677278982</v>
      </c>
      <c r="I480" s="70">
        <v>1.0620000000000001</v>
      </c>
      <c r="J480" s="44">
        <f>K480*L480</f>
        <v>947.98396207900009</v>
      </c>
      <c r="K480" s="70">
        <v>1.0640000000000001</v>
      </c>
      <c r="L480" s="44">
        <f t="shared" si="141"/>
        <v>890.96237037500009</v>
      </c>
      <c r="M480" s="47">
        <v>1.07</v>
      </c>
      <c r="N480" s="44">
        <f>O480*P480</f>
        <v>832.67511250000007</v>
      </c>
      <c r="O480" s="70">
        <v>1.075</v>
      </c>
      <c r="P480" s="44">
        <f t="shared" si="155"/>
        <v>774.58150000000012</v>
      </c>
      <c r="Q480" s="70">
        <v>1.085</v>
      </c>
      <c r="R480" s="44">
        <f>S480</f>
        <v>713.90000000000009</v>
      </c>
      <c r="S480" s="44">
        <f>G480*T480</f>
        <v>713.90000000000009</v>
      </c>
      <c r="T480" s="50">
        <v>1.1000000000000001</v>
      </c>
      <c r="U480" s="44">
        <f>I480*V480</f>
        <v>1144.02048538792</v>
      </c>
      <c r="V480" s="15">
        <f>H480*107%</f>
        <v>1077.2320954688512</v>
      </c>
      <c r="W480" s="260">
        <f>V480</f>
        <v>1077.2320954688512</v>
      </c>
      <c r="X480" s="132">
        <f>1381*106.5%</f>
        <v>1470.7649999999999</v>
      </c>
    </row>
    <row r="481" spans="1:24" ht="14.1" customHeight="1" x14ac:dyDescent="0.25">
      <c r="A481" s="128" t="s">
        <v>181</v>
      </c>
      <c r="B481" s="345" t="s">
        <v>331</v>
      </c>
      <c r="C481" s="346"/>
      <c r="D481" s="346"/>
      <c r="E481" s="346"/>
      <c r="F481" s="346"/>
      <c r="G481" s="346"/>
      <c r="H481" s="346"/>
      <c r="I481" s="346"/>
      <c r="J481" s="347"/>
      <c r="K481" s="47"/>
      <c r="L481" s="44"/>
      <c r="M481" s="47"/>
      <c r="N481" s="44"/>
      <c r="O481" s="70"/>
      <c r="P481" s="44"/>
      <c r="Q481" s="70"/>
      <c r="R481" s="44"/>
      <c r="S481" s="44"/>
      <c r="T481" s="50">
        <v>1.1000000000000001</v>
      </c>
      <c r="U481" s="44"/>
      <c r="V481" s="15"/>
      <c r="X481" s="132"/>
    </row>
    <row r="482" spans="1:24" ht="14.1" customHeight="1" x14ac:dyDescent="0.25">
      <c r="A482" s="395"/>
      <c r="B482" s="104" t="s">
        <v>32</v>
      </c>
      <c r="C482" s="41"/>
      <c r="D482" s="47"/>
      <c r="E482" s="47"/>
      <c r="F482" s="47"/>
      <c r="G482" s="44">
        <v>139</v>
      </c>
      <c r="H482" s="53">
        <f t="shared" si="144"/>
        <v>219.99495582792002</v>
      </c>
      <c r="I482" s="70">
        <v>1.0620000000000001</v>
      </c>
      <c r="J482" s="44">
        <f>K482*L482</f>
        <v>207.15155916000001</v>
      </c>
      <c r="K482" s="70">
        <v>1.0640000000000001</v>
      </c>
      <c r="L482" s="44">
        <f t="shared" si="141"/>
        <v>194.691315</v>
      </c>
      <c r="M482" s="47">
        <v>1.07</v>
      </c>
      <c r="N482" s="44">
        <f t="shared" ref="N482:N546" si="167">O482*P482</f>
        <v>181.9545</v>
      </c>
      <c r="O482" s="70">
        <v>1.075</v>
      </c>
      <c r="P482" s="44">
        <f t="shared" si="155"/>
        <v>169.26</v>
      </c>
      <c r="Q482" s="70">
        <v>1.085</v>
      </c>
      <c r="R482" s="44">
        <f t="shared" ref="R482:R493" si="168">S482</f>
        <v>156</v>
      </c>
      <c r="S482" s="44">
        <v>156</v>
      </c>
      <c r="T482" s="50">
        <v>1.1000000000000001</v>
      </c>
      <c r="U482" s="44">
        <v>-153.80000000000001</v>
      </c>
      <c r="V482" s="15">
        <f>H482*107%</f>
        <v>235.39460273587443</v>
      </c>
      <c r="W482" s="260">
        <f>V482</f>
        <v>235.39460273587443</v>
      </c>
      <c r="X482" s="132">
        <f>301*106.5%</f>
        <v>320.565</v>
      </c>
    </row>
    <row r="483" spans="1:24" ht="14.1" customHeight="1" x14ac:dyDescent="0.25">
      <c r="A483" s="396"/>
      <c r="B483" s="33" t="s">
        <v>1002</v>
      </c>
      <c r="C483" s="41">
        <v>282</v>
      </c>
      <c r="D483" s="47">
        <f t="shared" si="151"/>
        <v>298.41239999999999</v>
      </c>
      <c r="E483" s="47">
        <f>ROUND(D483,0)</f>
        <v>298</v>
      </c>
      <c r="F483" s="47">
        <f t="shared" si="166"/>
        <v>325.416</v>
      </c>
      <c r="G483" s="44">
        <v>358</v>
      </c>
      <c r="H483" s="53">
        <f t="shared" si="144"/>
        <v>555.34624105791613</v>
      </c>
      <c r="I483" s="70">
        <v>1.0620000000000001</v>
      </c>
      <c r="J483" s="44">
        <f>K483*L483</f>
        <v>522.92489741800011</v>
      </c>
      <c r="K483" s="70">
        <v>1.0640000000000001</v>
      </c>
      <c r="L483" s="44">
        <f t="shared" si="141"/>
        <v>491.47076825000005</v>
      </c>
      <c r="M483" s="47">
        <v>1.07</v>
      </c>
      <c r="N483" s="44">
        <f t="shared" si="167"/>
        <v>459.31847500000003</v>
      </c>
      <c r="O483" s="70">
        <v>1.075</v>
      </c>
      <c r="P483" s="44">
        <f t="shared" si="155"/>
        <v>427.27300000000002</v>
      </c>
      <c r="Q483" s="70">
        <v>1.085</v>
      </c>
      <c r="R483" s="44">
        <f t="shared" si="168"/>
        <v>393.8</v>
      </c>
      <c r="S483" s="44">
        <f>G483*T483</f>
        <v>393.8</v>
      </c>
      <c r="T483" s="50">
        <v>1.1000000000000001</v>
      </c>
      <c r="U483" s="44">
        <f>I483*V483</f>
        <v>631.06214756375255</v>
      </c>
      <c r="V483" s="15">
        <f>H483*107%</f>
        <v>594.22047793197032</v>
      </c>
      <c r="W483" s="260">
        <f>V483</f>
        <v>594.22047793197032</v>
      </c>
      <c r="X483" s="132">
        <f>762*106.5%</f>
        <v>811.53</v>
      </c>
    </row>
    <row r="484" spans="1:24" ht="30" customHeight="1" x14ac:dyDescent="0.25">
      <c r="A484" s="396"/>
      <c r="B484" s="33" t="s">
        <v>1004</v>
      </c>
      <c r="C484" s="41"/>
      <c r="D484" s="47"/>
      <c r="E484" s="47"/>
      <c r="F484" s="47"/>
      <c r="G484" s="44" t="s">
        <v>623</v>
      </c>
      <c r="H484" s="44" t="s">
        <v>623</v>
      </c>
      <c r="I484" s="44"/>
      <c r="J484" s="44" t="s">
        <v>623</v>
      </c>
      <c r="K484" s="47"/>
      <c r="L484" s="44" t="s">
        <v>623</v>
      </c>
      <c r="M484" s="47"/>
      <c r="N484" s="44"/>
      <c r="O484" s="70">
        <v>1.075</v>
      </c>
      <c r="P484" s="44" t="s">
        <v>623</v>
      </c>
      <c r="Q484" s="70">
        <v>1.085</v>
      </c>
      <c r="R484" s="44" t="str">
        <f t="shared" si="168"/>
        <v>договорная</v>
      </c>
      <c r="S484" s="44" t="s">
        <v>623</v>
      </c>
      <c r="T484" s="50"/>
      <c r="U484" s="44" t="s">
        <v>623</v>
      </c>
      <c r="V484" s="15"/>
      <c r="W484" s="264" t="s">
        <v>623</v>
      </c>
      <c r="X484" s="132">
        <f>3048*106.5%</f>
        <v>3246.12</v>
      </c>
    </row>
    <row r="485" spans="1:24" ht="15" customHeight="1" x14ac:dyDescent="0.25">
      <c r="A485" s="396"/>
      <c r="B485" s="33" t="s">
        <v>1003</v>
      </c>
      <c r="C485" s="41">
        <v>282</v>
      </c>
      <c r="D485" s="47">
        <f t="shared" si="151"/>
        <v>298.41239999999999</v>
      </c>
      <c r="E485" s="47">
        <f>ROUND(D485,0)</f>
        <v>298</v>
      </c>
      <c r="F485" s="47">
        <f t="shared" si="166"/>
        <v>325.416</v>
      </c>
      <c r="G485" s="44">
        <v>358</v>
      </c>
      <c r="H485" s="53">
        <f t="shared" si="144"/>
        <v>555.34624105791613</v>
      </c>
      <c r="I485" s="70">
        <v>1.0620000000000001</v>
      </c>
      <c r="J485" s="44">
        <f>K485*L485</f>
        <v>522.92489741800011</v>
      </c>
      <c r="K485" s="70">
        <v>1.0640000000000001</v>
      </c>
      <c r="L485" s="44">
        <f>M485*N485</f>
        <v>491.47076825000005</v>
      </c>
      <c r="M485" s="47">
        <v>1.07</v>
      </c>
      <c r="N485" s="44">
        <f t="shared" si="167"/>
        <v>459.31847500000003</v>
      </c>
      <c r="O485" s="70">
        <v>1.075</v>
      </c>
      <c r="P485" s="44">
        <f t="shared" si="155"/>
        <v>427.27300000000002</v>
      </c>
      <c r="Q485" s="70">
        <v>1.085</v>
      </c>
      <c r="R485" s="44">
        <f t="shared" si="168"/>
        <v>393.8</v>
      </c>
      <c r="S485" s="44">
        <f>G485*T485</f>
        <v>393.8</v>
      </c>
      <c r="T485" s="50">
        <v>1.1000000000000001</v>
      </c>
      <c r="U485" s="44">
        <f>I485*V485</f>
        <v>631.06214756375255</v>
      </c>
      <c r="V485" s="15">
        <f>H485*107%</f>
        <v>594.22047793197032</v>
      </c>
      <c r="W485" s="260">
        <f>V485</f>
        <v>594.22047793197032</v>
      </c>
      <c r="X485" s="132">
        <f>762*106.5%</f>
        <v>811.53</v>
      </c>
    </row>
    <row r="486" spans="1:24" ht="27.95" customHeight="1" x14ac:dyDescent="0.25">
      <c r="A486" s="396"/>
      <c r="B486" s="33" t="s">
        <v>1005</v>
      </c>
      <c r="C486" s="41"/>
      <c r="D486" s="47"/>
      <c r="E486" s="47"/>
      <c r="F486" s="47"/>
      <c r="G486" s="44" t="s">
        <v>623</v>
      </c>
      <c r="H486" s="44" t="s">
        <v>623</v>
      </c>
      <c r="I486" s="44"/>
      <c r="J486" s="44" t="s">
        <v>623</v>
      </c>
      <c r="K486" s="47"/>
      <c r="L486" s="44" t="s">
        <v>623</v>
      </c>
      <c r="M486" s="47"/>
      <c r="N486" s="44"/>
      <c r="O486" s="70">
        <v>1.075</v>
      </c>
      <c r="P486" s="44" t="s">
        <v>623</v>
      </c>
      <c r="Q486" s="70">
        <v>1.085</v>
      </c>
      <c r="R486" s="44" t="str">
        <f t="shared" si="168"/>
        <v>договорная</v>
      </c>
      <c r="S486" s="44" t="s">
        <v>623</v>
      </c>
      <c r="T486" s="50"/>
      <c r="U486" s="44" t="s">
        <v>623</v>
      </c>
      <c r="V486" s="15"/>
      <c r="W486" s="264" t="s">
        <v>623</v>
      </c>
      <c r="X486" s="132">
        <f>6096*106.5%</f>
        <v>6492.24</v>
      </c>
    </row>
    <row r="487" spans="1:24" ht="27.95" customHeight="1" x14ac:dyDescent="0.25">
      <c r="A487" s="396"/>
      <c r="B487" s="33" t="s">
        <v>1006</v>
      </c>
      <c r="C487" s="41"/>
      <c r="D487" s="47"/>
      <c r="E487" s="47"/>
      <c r="F487" s="47"/>
      <c r="G487" s="44"/>
      <c r="H487" s="44"/>
      <c r="I487" s="44"/>
      <c r="J487" s="44"/>
      <c r="K487" s="47"/>
      <c r="L487" s="44"/>
      <c r="M487" s="47"/>
      <c r="N487" s="44"/>
      <c r="O487" s="70"/>
      <c r="P487" s="44"/>
      <c r="Q487" s="70"/>
      <c r="R487" s="44"/>
      <c r="S487" s="44"/>
      <c r="T487" s="50"/>
      <c r="U487" s="44"/>
      <c r="V487" s="15"/>
      <c r="W487" s="264"/>
      <c r="X487" s="132">
        <f>6858*106.5%</f>
        <v>7303.7699999999995</v>
      </c>
    </row>
    <row r="488" spans="1:24" ht="27.95" customHeight="1" x14ac:dyDescent="0.25">
      <c r="A488" s="396"/>
      <c r="B488" s="33" t="s">
        <v>1007</v>
      </c>
      <c r="C488" s="41"/>
      <c r="D488" s="47"/>
      <c r="E488" s="47"/>
      <c r="F488" s="47"/>
      <c r="G488" s="44"/>
      <c r="H488" s="44"/>
      <c r="I488" s="44"/>
      <c r="J488" s="44"/>
      <c r="K488" s="47"/>
      <c r="L488" s="44"/>
      <c r="M488" s="47"/>
      <c r="N488" s="44"/>
      <c r="O488" s="70"/>
      <c r="P488" s="44"/>
      <c r="Q488" s="70"/>
      <c r="R488" s="44"/>
      <c r="S488" s="44"/>
      <c r="T488" s="50"/>
      <c r="U488" s="44"/>
      <c r="V488" s="15"/>
      <c r="W488" s="264"/>
      <c r="X488" s="132">
        <f>7620*106.5%</f>
        <v>8115.2999999999993</v>
      </c>
    </row>
    <row r="489" spans="1:24" ht="14.1" customHeight="1" x14ac:dyDescent="0.25">
      <c r="A489" s="396"/>
      <c r="B489" s="33" t="s">
        <v>332</v>
      </c>
      <c r="C489" s="41">
        <v>346</v>
      </c>
      <c r="D489" s="47">
        <f t="shared" si="151"/>
        <v>366.13720000000001</v>
      </c>
      <c r="E489" s="47">
        <f>ROUND(D489,0)</f>
        <v>366</v>
      </c>
      <c r="F489" s="47">
        <f t="shared" si="166"/>
        <v>399.67200000000003</v>
      </c>
      <c r="G489" s="44">
        <v>440</v>
      </c>
      <c r="H489" s="53">
        <f t="shared" si="144"/>
        <v>682.54845269688019</v>
      </c>
      <c r="I489" s="70">
        <v>1.0620000000000001</v>
      </c>
      <c r="J489" s="44">
        <f>K489*L489</f>
        <v>642.70099124000012</v>
      </c>
      <c r="K489" s="70">
        <v>1.0640000000000001</v>
      </c>
      <c r="L489" s="44">
        <f>M489*N489</f>
        <v>604.04228500000011</v>
      </c>
      <c r="M489" s="47">
        <v>1.07</v>
      </c>
      <c r="N489" s="44">
        <f t="shared" si="167"/>
        <v>564.52550000000008</v>
      </c>
      <c r="O489" s="70">
        <v>1.075</v>
      </c>
      <c r="P489" s="44">
        <f t="shared" si="155"/>
        <v>525.1400000000001</v>
      </c>
      <c r="Q489" s="70">
        <v>1.085</v>
      </c>
      <c r="R489" s="44">
        <f t="shared" si="168"/>
        <v>484.00000000000006</v>
      </c>
      <c r="S489" s="44">
        <f>G489*T489</f>
        <v>484.00000000000006</v>
      </c>
      <c r="T489" s="50">
        <v>1.1000000000000001</v>
      </c>
      <c r="U489" s="44">
        <f>I489*V489</f>
        <v>775.60710873757296</v>
      </c>
      <c r="V489" s="15">
        <f>H489*107%</f>
        <v>730.32684438566184</v>
      </c>
      <c r="W489" s="260">
        <f>V489</f>
        <v>730.32684438566184</v>
      </c>
      <c r="X489" s="132">
        <f>936*106.5%</f>
        <v>996.83999999999992</v>
      </c>
    </row>
    <row r="490" spans="1:24" ht="14.1" customHeight="1" x14ac:dyDescent="0.25">
      <c r="A490" s="396"/>
      <c r="B490" s="33" t="s">
        <v>171</v>
      </c>
      <c r="C490" s="41"/>
      <c r="D490" s="47"/>
      <c r="E490" s="47"/>
      <c r="F490" s="47"/>
      <c r="G490" s="44">
        <v>450</v>
      </c>
      <c r="H490" s="53">
        <f t="shared" si="144"/>
        <v>698.06091753090016</v>
      </c>
      <c r="I490" s="70">
        <v>1.0620000000000001</v>
      </c>
      <c r="J490" s="44">
        <f>K490*L490</f>
        <v>657.30783195000015</v>
      </c>
      <c r="K490" s="70">
        <v>1.0640000000000001</v>
      </c>
      <c r="L490" s="44">
        <f t="shared" ref="L490:L511" si="169">M490*N490</f>
        <v>617.77051875000006</v>
      </c>
      <c r="M490" s="47">
        <v>1.07</v>
      </c>
      <c r="N490" s="44">
        <f t="shared" si="167"/>
        <v>577.35562500000003</v>
      </c>
      <c r="O490" s="70">
        <v>1.075</v>
      </c>
      <c r="P490" s="44">
        <f t="shared" si="155"/>
        <v>537.07500000000005</v>
      </c>
      <c r="Q490" s="70">
        <v>1.085</v>
      </c>
      <c r="R490" s="44">
        <f t="shared" si="168"/>
        <v>495.00000000000006</v>
      </c>
      <c r="S490" s="44">
        <f>G490*T490</f>
        <v>495.00000000000006</v>
      </c>
      <c r="T490" s="50">
        <v>1.1000000000000001</v>
      </c>
      <c r="U490" s="44">
        <f>I490*V490</f>
        <v>793.23454302706318</v>
      </c>
      <c r="V490" s="15">
        <f>H490*107%</f>
        <v>746.92518175806322</v>
      </c>
      <c r="W490" s="260">
        <f>V490</f>
        <v>746.92518175806322</v>
      </c>
      <c r="X490" s="132">
        <f>957*106.5%</f>
        <v>1019.2049999999999</v>
      </c>
    </row>
    <row r="491" spans="1:24" ht="14.1" customHeight="1" x14ac:dyDescent="0.25">
      <c r="A491" s="396"/>
      <c r="B491" s="59" t="s">
        <v>418</v>
      </c>
      <c r="C491" s="89">
        <v>1258</v>
      </c>
      <c r="D491" s="52">
        <f>C491*1.0582</f>
        <v>1331.2156</v>
      </c>
      <c r="E491" s="52">
        <f>ROUND(D491,0)</f>
        <v>1331</v>
      </c>
      <c r="F491" s="52">
        <v>448.81</v>
      </c>
      <c r="G491" s="53">
        <v>494</v>
      </c>
      <c r="H491" s="53">
        <f t="shared" si="144"/>
        <v>766.31576280058812</v>
      </c>
      <c r="I491" s="70">
        <v>1.0620000000000001</v>
      </c>
      <c r="J491" s="44">
        <f>K491*L491</f>
        <v>721.57793107400005</v>
      </c>
      <c r="K491" s="70">
        <v>1.0640000000000001</v>
      </c>
      <c r="L491" s="44">
        <f t="shared" si="169"/>
        <v>678.17474725</v>
      </c>
      <c r="M491" s="47">
        <v>1.07</v>
      </c>
      <c r="N491" s="44">
        <f t="shared" si="167"/>
        <v>633.80817500000001</v>
      </c>
      <c r="O491" s="70">
        <v>1.075</v>
      </c>
      <c r="P491" s="44">
        <f t="shared" si="155"/>
        <v>589.58900000000006</v>
      </c>
      <c r="Q491" s="70">
        <v>1.085</v>
      </c>
      <c r="R491" s="44">
        <f t="shared" si="168"/>
        <v>543.40000000000009</v>
      </c>
      <c r="S491" s="44">
        <f>G491*T491</f>
        <v>543.40000000000009</v>
      </c>
      <c r="T491" s="50">
        <v>1.1000000000000001</v>
      </c>
      <c r="U491" s="44">
        <f>I491*V491</f>
        <v>870.7952539008204</v>
      </c>
      <c r="V491" s="15">
        <f>H491*107%</f>
        <v>819.95786619662931</v>
      </c>
      <c r="W491" s="260">
        <f>V491</f>
        <v>819.95786619662931</v>
      </c>
      <c r="X491" s="132">
        <f>1051*106.5%</f>
        <v>1119.3150000000001</v>
      </c>
    </row>
    <row r="492" spans="1:24" ht="14.1" customHeight="1" x14ac:dyDescent="0.25">
      <c r="A492" s="397"/>
      <c r="B492" s="33" t="s">
        <v>334</v>
      </c>
      <c r="C492" s="41"/>
      <c r="D492" s="47"/>
      <c r="E492" s="47"/>
      <c r="F492" s="47"/>
      <c r="G492" s="44">
        <v>505</v>
      </c>
      <c r="H492" s="53">
        <f t="shared" si="144"/>
        <v>783.37947411801008</v>
      </c>
      <c r="I492" s="70">
        <v>1.0620000000000001</v>
      </c>
      <c r="J492" s="44">
        <f>K492*L492</f>
        <v>737.64545585500002</v>
      </c>
      <c r="K492" s="70">
        <v>1.0640000000000001</v>
      </c>
      <c r="L492" s="44">
        <f t="shared" si="169"/>
        <v>693.27580437500001</v>
      </c>
      <c r="M492" s="47">
        <v>1.07</v>
      </c>
      <c r="N492" s="44">
        <f t="shared" si="167"/>
        <v>647.9213125</v>
      </c>
      <c r="O492" s="70">
        <v>1.075</v>
      </c>
      <c r="P492" s="44">
        <f t="shared" si="155"/>
        <v>602.71749999999997</v>
      </c>
      <c r="Q492" s="70">
        <v>1.085</v>
      </c>
      <c r="R492" s="44">
        <f t="shared" si="168"/>
        <v>555.5</v>
      </c>
      <c r="S492" s="44">
        <f>G492*T492</f>
        <v>555.5</v>
      </c>
      <c r="T492" s="50">
        <v>1.1000000000000001</v>
      </c>
      <c r="U492" s="44">
        <f>I492*V492</f>
        <v>890.18543161925959</v>
      </c>
      <c r="V492" s="15">
        <f>H492*107%</f>
        <v>838.21603730627078</v>
      </c>
      <c r="W492" s="260">
        <f>V492</f>
        <v>838.21603730627078</v>
      </c>
      <c r="X492" s="132">
        <f>1074*106.5%</f>
        <v>1143.81</v>
      </c>
    </row>
    <row r="493" spans="1:24" ht="14.1" customHeight="1" x14ac:dyDescent="0.25">
      <c r="A493" s="128" t="s">
        <v>182</v>
      </c>
      <c r="B493" s="33" t="s">
        <v>636</v>
      </c>
      <c r="C493" s="41"/>
      <c r="D493" s="47"/>
      <c r="E493" s="47">
        <v>2580</v>
      </c>
      <c r="F493" s="47">
        <f t="shared" si="166"/>
        <v>2817.36</v>
      </c>
      <c r="G493" s="44">
        <v>3099</v>
      </c>
      <c r="H493" s="53">
        <f t="shared" si="144"/>
        <v>4929.9354097560008</v>
      </c>
      <c r="I493" s="70">
        <v>1.0620000000000001</v>
      </c>
      <c r="J493" s="44">
        <f>K493*L493</f>
        <v>4642.1237380000002</v>
      </c>
      <c r="K493" s="70">
        <v>1.0640000000000001</v>
      </c>
      <c r="L493" s="44">
        <f t="shared" si="169"/>
        <v>4362.8982500000002</v>
      </c>
      <c r="M493" s="47">
        <v>1.07</v>
      </c>
      <c r="N493" s="44">
        <f t="shared" si="167"/>
        <v>4077.4749999999999</v>
      </c>
      <c r="O493" s="70">
        <v>1.075</v>
      </c>
      <c r="P493" s="44">
        <v>3793</v>
      </c>
      <c r="Q493" s="113" t="s">
        <v>258</v>
      </c>
      <c r="R493" s="44">
        <f t="shared" si="168"/>
        <v>3496</v>
      </c>
      <c r="S493" s="44">
        <v>3496</v>
      </c>
      <c r="T493" s="50">
        <v>1.1000000000000001</v>
      </c>
      <c r="U493" s="44">
        <v>-3493.8</v>
      </c>
      <c r="V493" s="15">
        <f>H493*107%</f>
        <v>5275.0308884389215</v>
      </c>
      <c r="W493" s="260">
        <f>V493</f>
        <v>5275.0308884389215</v>
      </c>
      <c r="X493" s="132">
        <f>6764*106.5%</f>
        <v>7203.66</v>
      </c>
    </row>
    <row r="494" spans="1:24" ht="14.1" customHeight="1" x14ac:dyDescent="0.25">
      <c r="A494" s="128" t="s">
        <v>703</v>
      </c>
      <c r="B494" s="345" t="s">
        <v>608</v>
      </c>
      <c r="C494" s="346"/>
      <c r="D494" s="346"/>
      <c r="E494" s="346"/>
      <c r="F494" s="346"/>
      <c r="G494" s="346"/>
      <c r="H494" s="346"/>
      <c r="I494" s="346"/>
      <c r="J494" s="347"/>
      <c r="K494" s="47"/>
      <c r="L494" s="44"/>
      <c r="M494" s="47"/>
      <c r="N494" s="44"/>
      <c r="O494" s="70"/>
      <c r="P494" s="44"/>
      <c r="Q494" s="70"/>
      <c r="R494" s="44"/>
      <c r="S494" s="44"/>
      <c r="T494" s="50"/>
      <c r="U494" s="44"/>
      <c r="V494" s="15"/>
      <c r="X494" s="132"/>
    </row>
    <row r="495" spans="1:24" ht="14.1" customHeight="1" x14ac:dyDescent="0.25">
      <c r="A495" s="395"/>
      <c r="B495" s="104" t="s">
        <v>335</v>
      </c>
      <c r="C495" s="41">
        <v>87.1</v>
      </c>
      <c r="D495" s="47">
        <f t="shared" ref="D495:D502" si="170">C495*1.0582</f>
        <v>92.169219999999996</v>
      </c>
      <c r="E495" s="47">
        <v>180</v>
      </c>
      <c r="F495" s="47">
        <f t="shared" si="166"/>
        <v>196.56</v>
      </c>
      <c r="G495" s="44">
        <v>217</v>
      </c>
      <c r="H495" s="53">
        <f t="shared" si="144"/>
        <v>336.62048689823411</v>
      </c>
      <c r="I495" s="70">
        <v>1.0620000000000001</v>
      </c>
      <c r="J495" s="44">
        <f t="shared" ref="J495:J502" si="171">K495*L495</f>
        <v>316.96844340700011</v>
      </c>
      <c r="K495" s="70">
        <v>1.0640000000000001</v>
      </c>
      <c r="L495" s="44">
        <f t="shared" si="169"/>
        <v>297.90267237500007</v>
      </c>
      <c r="M495" s="47">
        <v>1.07</v>
      </c>
      <c r="N495" s="44">
        <f t="shared" si="167"/>
        <v>278.41371250000003</v>
      </c>
      <c r="O495" s="70">
        <v>1.075</v>
      </c>
      <c r="P495" s="44">
        <f t="shared" si="155"/>
        <v>258.98950000000002</v>
      </c>
      <c r="Q495" s="70">
        <v>1.085</v>
      </c>
      <c r="R495" s="44">
        <f t="shared" ref="R495:R502" si="172">S495</f>
        <v>238.70000000000002</v>
      </c>
      <c r="S495" s="44">
        <f>G495*T495</f>
        <v>238.70000000000002</v>
      </c>
      <c r="T495" s="50">
        <v>1.1000000000000001</v>
      </c>
      <c r="U495" s="44">
        <f>I495*V495</f>
        <v>382.51532408193941</v>
      </c>
      <c r="V495" s="15">
        <f t="shared" ref="V495:V502" si="173">H495*107%</f>
        <v>360.18392098111053</v>
      </c>
      <c r="W495" s="260">
        <f t="shared" ref="W495:W502" si="174">V495</f>
        <v>360.18392098111053</v>
      </c>
      <c r="X495" s="132">
        <f>462*106.5%</f>
        <v>492.03</v>
      </c>
    </row>
    <row r="496" spans="1:24" s="18" customFormat="1" ht="14.1" customHeight="1" x14ac:dyDescent="0.25">
      <c r="A496" s="396"/>
      <c r="B496" s="33" t="s">
        <v>336</v>
      </c>
      <c r="C496" s="41">
        <v>240</v>
      </c>
      <c r="D496" s="47">
        <f t="shared" si="170"/>
        <v>253.96800000000002</v>
      </c>
      <c r="E496" s="47">
        <v>310</v>
      </c>
      <c r="F496" s="47">
        <f t="shared" si="166"/>
        <v>338.52000000000004</v>
      </c>
      <c r="G496" s="44">
        <v>1373</v>
      </c>
      <c r="H496" s="53">
        <f t="shared" si="144"/>
        <v>1936.2376561008602</v>
      </c>
      <c r="I496" s="70">
        <v>1.0620000000000001</v>
      </c>
      <c r="J496" s="44">
        <f t="shared" si="171"/>
        <v>1823.1992995300002</v>
      </c>
      <c r="K496" s="70">
        <v>1.0640000000000001</v>
      </c>
      <c r="L496" s="44">
        <f t="shared" si="169"/>
        <v>1713.53317625</v>
      </c>
      <c r="M496" s="47">
        <v>1.07</v>
      </c>
      <c r="N496" s="44">
        <f t="shared" si="167"/>
        <v>1601.432875</v>
      </c>
      <c r="O496" s="70">
        <v>1.075</v>
      </c>
      <c r="P496" s="44">
        <f t="shared" si="155"/>
        <v>1489.7049999999999</v>
      </c>
      <c r="Q496" s="70">
        <v>1.085</v>
      </c>
      <c r="R496" s="44">
        <f t="shared" si="172"/>
        <v>1373</v>
      </c>
      <c r="S496" s="44">
        <v>1373</v>
      </c>
      <c r="T496" s="72" t="s">
        <v>172</v>
      </c>
      <c r="U496" s="44">
        <v>1374</v>
      </c>
      <c r="V496" s="15">
        <f t="shared" si="173"/>
        <v>2071.7742920279206</v>
      </c>
      <c r="W496" s="260">
        <f t="shared" si="174"/>
        <v>2071.7742920279206</v>
      </c>
      <c r="X496" s="132">
        <f>2657*106.5%</f>
        <v>2829.7049999999999</v>
      </c>
    </row>
    <row r="497" spans="1:24" s="18" customFormat="1" ht="14.1" customHeight="1" x14ac:dyDescent="0.25">
      <c r="A497" s="396"/>
      <c r="B497" s="33" t="s">
        <v>337</v>
      </c>
      <c r="C497" s="41">
        <v>154</v>
      </c>
      <c r="D497" s="47">
        <f t="shared" si="170"/>
        <v>162.96280000000002</v>
      </c>
      <c r="E497" s="47">
        <v>200</v>
      </c>
      <c r="F497" s="47">
        <f t="shared" si="166"/>
        <v>218.4</v>
      </c>
      <c r="G497" s="44">
        <v>240</v>
      </c>
      <c r="H497" s="53">
        <f t="shared" si="144"/>
        <v>372.29915601648008</v>
      </c>
      <c r="I497" s="70">
        <v>1.0620000000000001</v>
      </c>
      <c r="J497" s="44">
        <f t="shared" si="171"/>
        <v>350.56417704000006</v>
      </c>
      <c r="K497" s="70">
        <v>1.0640000000000001</v>
      </c>
      <c r="L497" s="44">
        <f t="shared" si="169"/>
        <v>329.47761000000003</v>
      </c>
      <c r="M497" s="47">
        <v>1.07</v>
      </c>
      <c r="N497" s="44">
        <f t="shared" si="167"/>
        <v>307.923</v>
      </c>
      <c r="O497" s="70">
        <v>1.075</v>
      </c>
      <c r="P497" s="44">
        <f t="shared" si="155"/>
        <v>286.44</v>
      </c>
      <c r="Q497" s="70">
        <v>1.085</v>
      </c>
      <c r="R497" s="44">
        <f t="shared" si="172"/>
        <v>264</v>
      </c>
      <c r="S497" s="44">
        <f t="shared" ref="S497:U502" si="175">G497*T497</f>
        <v>264</v>
      </c>
      <c r="T497" s="45">
        <v>1.1000000000000001</v>
      </c>
      <c r="U497" s="44">
        <f t="shared" si="175"/>
        <v>423.05842294776704</v>
      </c>
      <c r="V497" s="15">
        <f t="shared" si="173"/>
        <v>398.36009693763373</v>
      </c>
      <c r="W497" s="260">
        <f t="shared" si="174"/>
        <v>398.36009693763373</v>
      </c>
      <c r="X497" s="132">
        <f>510*106.5%</f>
        <v>543.15</v>
      </c>
    </row>
    <row r="498" spans="1:24" s="18" customFormat="1" ht="14.1" customHeight="1" x14ac:dyDescent="0.25">
      <c r="A498" s="396"/>
      <c r="B498" s="33" t="s">
        <v>160</v>
      </c>
      <c r="C498" s="47">
        <v>69.909826817376015</v>
      </c>
      <c r="D498" s="284"/>
      <c r="E498" s="47">
        <v>1900</v>
      </c>
      <c r="F498" s="47">
        <f>E498*1.092</f>
        <v>2074.8000000000002</v>
      </c>
      <c r="G498" s="44">
        <v>500</v>
      </c>
      <c r="H498" s="53">
        <f t="shared" si="144"/>
        <v>775.62324170100021</v>
      </c>
      <c r="I498" s="70">
        <v>1.0620000000000001</v>
      </c>
      <c r="J498" s="44">
        <f t="shared" si="171"/>
        <v>730.34203550000018</v>
      </c>
      <c r="K498" s="70">
        <v>1.0640000000000001</v>
      </c>
      <c r="L498" s="44">
        <f t="shared" si="169"/>
        <v>686.41168750000008</v>
      </c>
      <c r="M498" s="47">
        <v>1.07</v>
      </c>
      <c r="N498" s="44">
        <f t="shared" si="167"/>
        <v>641.50625000000002</v>
      </c>
      <c r="O498" s="70">
        <v>1.075</v>
      </c>
      <c r="P498" s="44">
        <f t="shared" si="155"/>
        <v>596.75</v>
      </c>
      <c r="Q498" s="70">
        <v>1.085</v>
      </c>
      <c r="R498" s="44">
        <f t="shared" si="172"/>
        <v>550</v>
      </c>
      <c r="S498" s="44">
        <f t="shared" si="175"/>
        <v>550</v>
      </c>
      <c r="T498" s="45">
        <v>1.1000000000000001</v>
      </c>
      <c r="U498" s="44">
        <f t="shared" si="175"/>
        <v>881.37171447451476</v>
      </c>
      <c r="V498" s="15">
        <f t="shared" si="173"/>
        <v>829.91686862007032</v>
      </c>
      <c r="W498" s="260">
        <f t="shared" si="174"/>
        <v>829.91686862007032</v>
      </c>
      <c r="X498" s="132">
        <f>1064*106.5%</f>
        <v>1133.1599999999999</v>
      </c>
    </row>
    <row r="499" spans="1:24" ht="14.1" customHeight="1" x14ac:dyDescent="0.25">
      <c r="A499" s="396"/>
      <c r="B499" s="33" t="s">
        <v>338</v>
      </c>
      <c r="C499" s="41">
        <v>154</v>
      </c>
      <c r="D499" s="47">
        <f t="shared" si="170"/>
        <v>162.96280000000002</v>
      </c>
      <c r="E499" s="47">
        <v>1630</v>
      </c>
      <c r="F499" s="47">
        <f t="shared" si="166"/>
        <v>1779.96</v>
      </c>
      <c r="G499" s="44">
        <v>1958</v>
      </c>
      <c r="H499" s="53">
        <f t="shared" si="144"/>
        <v>3037.3406145011163</v>
      </c>
      <c r="I499" s="70">
        <v>1.0620000000000001</v>
      </c>
      <c r="J499" s="44">
        <f t="shared" si="171"/>
        <v>2860.019411018</v>
      </c>
      <c r="K499" s="70">
        <v>1.0640000000000001</v>
      </c>
      <c r="L499" s="44">
        <f t="shared" si="169"/>
        <v>2687.9881682499999</v>
      </c>
      <c r="M499" s="47">
        <v>1.07</v>
      </c>
      <c r="N499" s="44">
        <f t="shared" si="167"/>
        <v>2512.1384749999997</v>
      </c>
      <c r="O499" s="70">
        <v>1.075</v>
      </c>
      <c r="P499" s="44">
        <f t="shared" si="155"/>
        <v>2336.873</v>
      </c>
      <c r="Q499" s="70">
        <v>1.085</v>
      </c>
      <c r="R499" s="44">
        <f t="shared" si="172"/>
        <v>2153.8000000000002</v>
      </c>
      <c r="S499" s="44">
        <f t="shared" si="175"/>
        <v>2153.8000000000002</v>
      </c>
      <c r="T499" s="50">
        <v>1.1000000000000001</v>
      </c>
      <c r="U499" s="44">
        <f t="shared" si="175"/>
        <v>3451.4516338821986</v>
      </c>
      <c r="V499" s="15">
        <f t="shared" si="173"/>
        <v>3249.9544575161945</v>
      </c>
      <c r="W499" s="260">
        <f t="shared" si="174"/>
        <v>3249.9544575161945</v>
      </c>
      <c r="X499" s="132">
        <f>4167*106.5%</f>
        <v>4437.8549999999996</v>
      </c>
    </row>
    <row r="500" spans="1:24" ht="14.1" customHeight="1" x14ac:dyDescent="0.25">
      <c r="A500" s="396"/>
      <c r="B500" s="33" t="s">
        <v>339</v>
      </c>
      <c r="C500" s="41">
        <v>491</v>
      </c>
      <c r="D500" s="47">
        <f t="shared" si="170"/>
        <v>519.57619999999997</v>
      </c>
      <c r="E500" s="47">
        <v>1990</v>
      </c>
      <c r="F500" s="47">
        <f t="shared" si="166"/>
        <v>2173.0800000000004</v>
      </c>
      <c r="G500" s="44">
        <v>2390</v>
      </c>
      <c r="H500" s="53">
        <f t="shared" si="144"/>
        <v>3707.4790953307806</v>
      </c>
      <c r="I500" s="70">
        <v>1.0620000000000001</v>
      </c>
      <c r="J500" s="44">
        <f t="shared" si="171"/>
        <v>3491.0349296900004</v>
      </c>
      <c r="K500" s="70">
        <v>1.0640000000000001</v>
      </c>
      <c r="L500" s="44">
        <f t="shared" si="169"/>
        <v>3281.04786625</v>
      </c>
      <c r="M500" s="47">
        <v>1.07</v>
      </c>
      <c r="N500" s="44">
        <f t="shared" si="167"/>
        <v>3066.3998749999996</v>
      </c>
      <c r="O500" s="70">
        <v>1.075</v>
      </c>
      <c r="P500" s="44">
        <f t="shared" si="155"/>
        <v>2852.4649999999997</v>
      </c>
      <c r="Q500" s="70">
        <v>1.085</v>
      </c>
      <c r="R500" s="44">
        <f t="shared" si="172"/>
        <v>2629</v>
      </c>
      <c r="S500" s="44">
        <f t="shared" si="175"/>
        <v>2629</v>
      </c>
      <c r="T500" s="50">
        <v>1.1000000000000001</v>
      </c>
      <c r="U500" s="44">
        <f t="shared" si="175"/>
        <v>4212.95679518818</v>
      </c>
      <c r="V500" s="15">
        <f t="shared" si="173"/>
        <v>3967.0026320039356</v>
      </c>
      <c r="W500" s="260">
        <f t="shared" si="174"/>
        <v>3967.0026320039356</v>
      </c>
      <c r="X500" s="132">
        <f>5086*106.5%</f>
        <v>5416.59</v>
      </c>
    </row>
    <row r="501" spans="1:24" ht="14.1" customHeight="1" x14ac:dyDescent="0.25">
      <c r="A501" s="396"/>
      <c r="B501" s="33" t="s">
        <v>340</v>
      </c>
      <c r="C501" s="41">
        <v>491</v>
      </c>
      <c r="D501" s="47">
        <f t="shared" si="170"/>
        <v>519.57619999999997</v>
      </c>
      <c r="E501" s="47">
        <v>1990</v>
      </c>
      <c r="F501" s="47">
        <f t="shared" si="166"/>
        <v>2173.0800000000004</v>
      </c>
      <c r="G501" s="44">
        <v>2390</v>
      </c>
      <c r="H501" s="53">
        <f t="shared" si="144"/>
        <v>3707.4790953307806</v>
      </c>
      <c r="I501" s="70">
        <v>1.0620000000000001</v>
      </c>
      <c r="J501" s="44">
        <f t="shared" si="171"/>
        <v>3491.0349296900004</v>
      </c>
      <c r="K501" s="70">
        <v>1.0640000000000001</v>
      </c>
      <c r="L501" s="44">
        <f t="shared" si="169"/>
        <v>3281.04786625</v>
      </c>
      <c r="M501" s="47">
        <v>1.07</v>
      </c>
      <c r="N501" s="44">
        <f t="shared" si="167"/>
        <v>3066.3998749999996</v>
      </c>
      <c r="O501" s="70">
        <v>1.075</v>
      </c>
      <c r="P501" s="44">
        <f t="shared" si="155"/>
        <v>2852.4649999999997</v>
      </c>
      <c r="Q501" s="70">
        <v>1.085</v>
      </c>
      <c r="R501" s="44">
        <f t="shared" si="172"/>
        <v>2629</v>
      </c>
      <c r="S501" s="44">
        <f t="shared" si="175"/>
        <v>2629</v>
      </c>
      <c r="T501" s="50">
        <v>1.1000000000000001</v>
      </c>
      <c r="U501" s="44">
        <f t="shared" si="175"/>
        <v>4212.95679518818</v>
      </c>
      <c r="V501" s="15">
        <f t="shared" si="173"/>
        <v>3967.0026320039356</v>
      </c>
      <c r="W501" s="260">
        <f t="shared" si="174"/>
        <v>3967.0026320039356</v>
      </c>
      <c r="X501" s="132">
        <f>5086*106.5%</f>
        <v>5416.59</v>
      </c>
    </row>
    <row r="502" spans="1:24" ht="14.1" customHeight="1" x14ac:dyDescent="0.25">
      <c r="A502" s="397"/>
      <c r="B502" s="33" t="s">
        <v>341</v>
      </c>
      <c r="C502" s="41">
        <v>240</v>
      </c>
      <c r="D502" s="47">
        <f t="shared" si="170"/>
        <v>253.96800000000002</v>
      </c>
      <c r="E502" s="47">
        <v>310</v>
      </c>
      <c r="F502" s="47">
        <f t="shared" si="166"/>
        <v>338.52000000000004</v>
      </c>
      <c r="G502" s="44">
        <v>373</v>
      </c>
      <c r="H502" s="53">
        <f t="shared" si="144"/>
        <v>578.61493830894597</v>
      </c>
      <c r="I502" s="70">
        <v>1.0620000000000001</v>
      </c>
      <c r="J502" s="44">
        <f t="shared" si="171"/>
        <v>544.83515848299999</v>
      </c>
      <c r="K502" s="70">
        <v>1.0640000000000001</v>
      </c>
      <c r="L502" s="44">
        <f t="shared" si="169"/>
        <v>512.06311887499999</v>
      </c>
      <c r="M502" s="47">
        <v>1.07</v>
      </c>
      <c r="N502" s="44">
        <f t="shared" si="167"/>
        <v>478.56366249999996</v>
      </c>
      <c r="O502" s="70">
        <v>1.075</v>
      </c>
      <c r="P502" s="44">
        <f t="shared" si="155"/>
        <v>445.1755</v>
      </c>
      <c r="Q502" s="70">
        <v>1.085</v>
      </c>
      <c r="R502" s="44">
        <f t="shared" si="172"/>
        <v>410.3</v>
      </c>
      <c r="S502" s="44">
        <f t="shared" si="175"/>
        <v>410.3</v>
      </c>
      <c r="T502" s="50">
        <v>1.1000000000000001</v>
      </c>
      <c r="U502" s="44">
        <f t="shared" si="175"/>
        <v>657.50329899798783</v>
      </c>
      <c r="V502" s="15">
        <f t="shared" si="173"/>
        <v>619.11798399057227</v>
      </c>
      <c r="W502" s="260">
        <f t="shared" si="174"/>
        <v>619.11798399057227</v>
      </c>
      <c r="X502" s="132">
        <f>794*106.5%</f>
        <v>845.61</v>
      </c>
    </row>
    <row r="503" spans="1:24" ht="30.95" customHeight="1" x14ac:dyDescent="0.25">
      <c r="A503" s="128" t="s">
        <v>704</v>
      </c>
      <c r="B503" s="345" t="s">
        <v>807</v>
      </c>
      <c r="C503" s="346"/>
      <c r="D503" s="346"/>
      <c r="E503" s="346"/>
      <c r="F503" s="346"/>
      <c r="G503" s="346"/>
      <c r="H503" s="346"/>
      <c r="I503" s="346"/>
      <c r="J503" s="347"/>
      <c r="K503" s="47"/>
      <c r="L503" s="44"/>
      <c r="M503" s="47"/>
      <c r="N503" s="44"/>
      <c r="O503" s="70"/>
      <c r="P503" s="44"/>
      <c r="Q503" s="70"/>
      <c r="R503" s="44"/>
      <c r="S503" s="44"/>
      <c r="T503" s="50"/>
      <c r="U503" s="44"/>
      <c r="V503" s="15"/>
      <c r="X503" s="132"/>
    </row>
    <row r="504" spans="1:24" ht="14.1" customHeight="1" x14ac:dyDescent="0.25">
      <c r="A504" s="395"/>
      <c r="B504" s="104" t="s">
        <v>214</v>
      </c>
      <c r="C504" s="41">
        <v>135</v>
      </c>
      <c r="D504" s="47">
        <f t="shared" ref="D504:D509" si="176">C504*1.0582</f>
        <v>142.857</v>
      </c>
      <c r="E504" s="47">
        <f>ROUND(D504,0)</f>
        <v>143</v>
      </c>
      <c r="F504" s="47">
        <f t="shared" si="166"/>
        <v>156.15600000000001</v>
      </c>
      <c r="G504" s="44">
        <v>172</v>
      </c>
      <c r="H504" s="53">
        <f t="shared" si="144"/>
        <v>266.81439514514403</v>
      </c>
      <c r="I504" s="70">
        <v>1.0620000000000001</v>
      </c>
      <c r="J504" s="44">
        <f t="shared" ref="J504:J511" si="177">K504*L504</f>
        <v>251.23766021200004</v>
      </c>
      <c r="K504" s="70">
        <v>1.0640000000000001</v>
      </c>
      <c r="L504" s="44">
        <f t="shared" si="169"/>
        <v>236.12562050000003</v>
      </c>
      <c r="M504" s="47">
        <v>1.07</v>
      </c>
      <c r="N504" s="44">
        <f t="shared" si="167"/>
        <v>220.67815000000002</v>
      </c>
      <c r="O504" s="70">
        <v>1.075</v>
      </c>
      <c r="P504" s="44">
        <f t="shared" si="155"/>
        <v>205.28200000000001</v>
      </c>
      <c r="Q504" s="70">
        <v>1.085</v>
      </c>
      <c r="R504" s="44">
        <f t="shared" ref="R504:R515" si="178">S504</f>
        <v>189.20000000000002</v>
      </c>
      <c r="S504" s="44">
        <f t="shared" ref="S504:U511" si="179">G504*T504</f>
        <v>189.20000000000002</v>
      </c>
      <c r="T504" s="50">
        <v>1.1000000000000001</v>
      </c>
      <c r="U504" s="44">
        <f t="shared" si="179"/>
        <v>303.191869779233</v>
      </c>
      <c r="V504" s="15">
        <f t="shared" ref="V504:V515" si="180">H504*107%</f>
        <v>285.49140280530412</v>
      </c>
      <c r="W504" s="260">
        <f t="shared" ref="W504:W515" si="181">V504</f>
        <v>285.49140280530412</v>
      </c>
      <c r="X504" s="132">
        <f>366*106.5%</f>
        <v>389.78999999999996</v>
      </c>
    </row>
    <row r="505" spans="1:24" ht="14.1" customHeight="1" x14ac:dyDescent="0.25">
      <c r="A505" s="396"/>
      <c r="B505" s="33" t="s">
        <v>174</v>
      </c>
      <c r="C505" s="41">
        <v>135</v>
      </c>
      <c r="D505" s="47">
        <f t="shared" si="176"/>
        <v>142.857</v>
      </c>
      <c r="E505" s="47">
        <f>ROUND(D505,0)</f>
        <v>143</v>
      </c>
      <c r="F505" s="47">
        <f t="shared" si="166"/>
        <v>156.15600000000001</v>
      </c>
      <c r="G505" s="44">
        <v>172</v>
      </c>
      <c r="H505" s="53">
        <f t="shared" si="144"/>
        <v>266.81439514514403</v>
      </c>
      <c r="I505" s="70">
        <v>1.0620000000000001</v>
      </c>
      <c r="J505" s="44">
        <f t="shared" si="177"/>
        <v>251.23766021200004</v>
      </c>
      <c r="K505" s="70">
        <v>1.0640000000000001</v>
      </c>
      <c r="L505" s="44">
        <f t="shared" si="169"/>
        <v>236.12562050000003</v>
      </c>
      <c r="M505" s="47">
        <v>1.07</v>
      </c>
      <c r="N505" s="44">
        <f t="shared" si="167"/>
        <v>220.67815000000002</v>
      </c>
      <c r="O505" s="70">
        <v>1.075</v>
      </c>
      <c r="P505" s="44">
        <f t="shared" si="155"/>
        <v>205.28200000000001</v>
      </c>
      <c r="Q505" s="70">
        <v>1.085</v>
      </c>
      <c r="R505" s="44">
        <f t="shared" si="178"/>
        <v>189.20000000000002</v>
      </c>
      <c r="S505" s="44">
        <f t="shared" si="179"/>
        <v>189.20000000000002</v>
      </c>
      <c r="T505" s="50">
        <v>1.1000000000000001</v>
      </c>
      <c r="U505" s="44">
        <f t="shared" si="179"/>
        <v>303.191869779233</v>
      </c>
      <c r="V505" s="15">
        <f t="shared" si="180"/>
        <v>285.49140280530412</v>
      </c>
      <c r="W505" s="260">
        <f t="shared" si="181"/>
        <v>285.49140280530412</v>
      </c>
      <c r="X505" s="132">
        <f>366*106.5%</f>
        <v>389.78999999999996</v>
      </c>
    </row>
    <row r="506" spans="1:24" ht="14.1" customHeight="1" x14ac:dyDescent="0.25">
      <c r="A506" s="396"/>
      <c r="B506" s="33" t="s">
        <v>215</v>
      </c>
      <c r="C506" s="41">
        <v>176</v>
      </c>
      <c r="D506" s="47">
        <f t="shared" si="176"/>
        <v>186.2432</v>
      </c>
      <c r="E506" s="47">
        <v>320</v>
      </c>
      <c r="F506" s="47">
        <f t="shared" si="166"/>
        <v>349.44000000000005</v>
      </c>
      <c r="G506" s="44">
        <v>384</v>
      </c>
      <c r="H506" s="53">
        <f t="shared" si="144"/>
        <v>595.67864962636816</v>
      </c>
      <c r="I506" s="70">
        <v>1.0620000000000001</v>
      </c>
      <c r="J506" s="44">
        <f t="shared" si="177"/>
        <v>560.90268326400007</v>
      </c>
      <c r="K506" s="70">
        <v>1.0640000000000001</v>
      </c>
      <c r="L506" s="44">
        <f t="shared" si="169"/>
        <v>527.164176</v>
      </c>
      <c r="M506" s="47">
        <v>1.07</v>
      </c>
      <c r="N506" s="44">
        <f t="shared" si="167"/>
        <v>492.67680000000001</v>
      </c>
      <c r="O506" s="70">
        <v>1.075</v>
      </c>
      <c r="P506" s="44">
        <f t="shared" si="155"/>
        <v>458.30400000000003</v>
      </c>
      <c r="Q506" s="70">
        <v>1.085</v>
      </c>
      <c r="R506" s="44">
        <f t="shared" si="178"/>
        <v>422.40000000000003</v>
      </c>
      <c r="S506" s="44">
        <f t="shared" si="179"/>
        <v>422.40000000000003</v>
      </c>
      <c r="T506" s="50">
        <v>1.1000000000000001</v>
      </c>
      <c r="U506" s="44">
        <f t="shared" si="179"/>
        <v>676.89347671642724</v>
      </c>
      <c r="V506" s="15">
        <f t="shared" si="180"/>
        <v>637.37615510021396</v>
      </c>
      <c r="W506" s="260">
        <f t="shared" si="181"/>
        <v>637.37615510021396</v>
      </c>
      <c r="X506" s="132">
        <f>817*106.5%</f>
        <v>870.1049999999999</v>
      </c>
    </row>
    <row r="507" spans="1:24" ht="14.1" customHeight="1" x14ac:dyDescent="0.25">
      <c r="A507" s="396"/>
      <c r="B507" s="33" t="s">
        <v>342</v>
      </c>
      <c r="C507" s="41">
        <v>135</v>
      </c>
      <c r="D507" s="47">
        <f t="shared" si="176"/>
        <v>142.857</v>
      </c>
      <c r="E507" s="47">
        <v>310</v>
      </c>
      <c r="F507" s="47">
        <f t="shared" si="166"/>
        <v>338.52000000000004</v>
      </c>
      <c r="G507" s="44">
        <v>373</v>
      </c>
      <c r="H507" s="53">
        <f t="shared" si="144"/>
        <v>578.61493830894597</v>
      </c>
      <c r="I507" s="70">
        <v>1.0620000000000001</v>
      </c>
      <c r="J507" s="44">
        <f t="shared" si="177"/>
        <v>544.83515848299999</v>
      </c>
      <c r="K507" s="70">
        <v>1.0640000000000001</v>
      </c>
      <c r="L507" s="44">
        <f t="shared" si="169"/>
        <v>512.06311887499999</v>
      </c>
      <c r="M507" s="47">
        <v>1.07</v>
      </c>
      <c r="N507" s="44">
        <f t="shared" si="167"/>
        <v>478.56366249999996</v>
      </c>
      <c r="O507" s="70">
        <v>1.075</v>
      </c>
      <c r="P507" s="44">
        <f t="shared" si="155"/>
        <v>445.1755</v>
      </c>
      <c r="Q507" s="70">
        <v>1.085</v>
      </c>
      <c r="R507" s="44">
        <f t="shared" si="178"/>
        <v>410.3</v>
      </c>
      <c r="S507" s="44">
        <f t="shared" si="179"/>
        <v>410.3</v>
      </c>
      <c r="T507" s="50">
        <v>1.1000000000000001</v>
      </c>
      <c r="U507" s="44">
        <f t="shared" si="179"/>
        <v>657.50329899798783</v>
      </c>
      <c r="V507" s="15">
        <f t="shared" si="180"/>
        <v>619.11798399057227</v>
      </c>
      <c r="W507" s="260">
        <f t="shared" si="181"/>
        <v>619.11798399057227</v>
      </c>
      <c r="X507" s="132">
        <f>794*106.5%</f>
        <v>845.61</v>
      </c>
    </row>
    <row r="508" spans="1:24" ht="14.1" customHeight="1" x14ac:dyDescent="0.25">
      <c r="A508" s="396"/>
      <c r="B508" s="33" t="s">
        <v>343</v>
      </c>
      <c r="C508" s="41">
        <v>135</v>
      </c>
      <c r="D508" s="47">
        <f t="shared" si="176"/>
        <v>142.857</v>
      </c>
      <c r="E508" s="47">
        <v>310</v>
      </c>
      <c r="F508" s="47">
        <f t="shared" si="166"/>
        <v>338.52000000000004</v>
      </c>
      <c r="G508" s="44">
        <v>373</v>
      </c>
      <c r="H508" s="53">
        <f>J508*I508</f>
        <v>578.61493830894597</v>
      </c>
      <c r="I508" s="70">
        <v>1.0620000000000001</v>
      </c>
      <c r="J508" s="44">
        <f t="shared" si="177"/>
        <v>544.83515848299999</v>
      </c>
      <c r="K508" s="70">
        <v>1.0640000000000001</v>
      </c>
      <c r="L508" s="44">
        <f t="shared" si="169"/>
        <v>512.06311887499999</v>
      </c>
      <c r="M508" s="47">
        <v>1.07</v>
      </c>
      <c r="N508" s="44">
        <f t="shared" si="167"/>
        <v>478.56366249999996</v>
      </c>
      <c r="O508" s="70">
        <v>1.075</v>
      </c>
      <c r="P508" s="44">
        <f t="shared" si="155"/>
        <v>445.1755</v>
      </c>
      <c r="Q508" s="70">
        <v>1.085</v>
      </c>
      <c r="R508" s="44">
        <f t="shared" si="178"/>
        <v>410.3</v>
      </c>
      <c r="S508" s="44">
        <f t="shared" si="179"/>
        <v>410.3</v>
      </c>
      <c r="T508" s="50">
        <v>1.1000000000000001</v>
      </c>
      <c r="U508" s="44">
        <f t="shared" si="179"/>
        <v>657.50329899798783</v>
      </c>
      <c r="V508" s="15">
        <f t="shared" si="180"/>
        <v>619.11798399057227</v>
      </c>
      <c r="W508" s="260">
        <f t="shared" si="181"/>
        <v>619.11798399057227</v>
      </c>
      <c r="X508" s="132">
        <f>794*106.5%</f>
        <v>845.61</v>
      </c>
    </row>
    <row r="509" spans="1:24" ht="14.1" customHeight="1" x14ac:dyDescent="0.25">
      <c r="A509" s="396"/>
      <c r="B509" s="33" t="s">
        <v>344</v>
      </c>
      <c r="C509" s="41">
        <v>240</v>
      </c>
      <c r="D509" s="47">
        <f t="shared" si="176"/>
        <v>253.96800000000002</v>
      </c>
      <c r="E509" s="47">
        <v>400</v>
      </c>
      <c r="F509" s="47">
        <f t="shared" si="166"/>
        <v>436.8</v>
      </c>
      <c r="G509" s="44">
        <v>481</v>
      </c>
      <c r="H509" s="53">
        <f>J509*I509</f>
        <v>746.14955851636216</v>
      </c>
      <c r="I509" s="70">
        <v>1.0620000000000001</v>
      </c>
      <c r="J509" s="44">
        <f t="shared" si="177"/>
        <v>702.58903815100007</v>
      </c>
      <c r="K509" s="70">
        <v>1.0640000000000001</v>
      </c>
      <c r="L509" s="44">
        <f t="shared" si="169"/>
        <v>660.32804337499999</v>
      </c>
      <c r="M509" s="47">
        <v>1.07</v>
      </c>
      <c r="N509" s="44">
        <f t="shared" si="167"/>
        <v>617.12901249999993</v>
      </c>
      <c r="O509" s="70">
        <v>1.075</v>
      </c>
      <c r="P509" s="44">
        <f t="shared" si="155"/>
        <v>574.07349999999997</v>
      </c>
      <c r="Q509" s="70">
        <v>1.085</v>
      </c>
      <c r="R509" s="44">
        <f t="shared" si="178"/>
        <v>529.1</v>
      </c>
      <c r="S509" s="44">
        <f t="shared" si="179"/>
        <v>529.1</v>
      </c>
      <c r="T509" s="50">
        <v>1.1000000000000001</v>
      </c>
      <c r="U509" s="44">
        <f t="shared" si="179"/>
        <v>847.87958932448305</v>
      </c>
      <c r="V509" s="15">
        <f t="shared" si="180"/>
        <v>798.38002761250755</v>
      </c>
      <c r="W509" s="260">
        <f t="shared" si="181"/>
        <v>798.38002761250755</v>
      </c>
      <c r="X509" s="132">
        <f>1023*106.5%</f>
        <v>1089.4949999999999</v>
      </c>
    </row>
    <row r="510" spans="1:24" ht="14.1" customHeight="1" x14ac:dyDescent="0.25">
      <c r="A510" s="396"/>
      <c r="B510" s="33" t="s">
        <v>803</v>
      </c>
      <c r="C510" s="41"/>
      <c r="D510" s="47"/>
      <c r="E510" s="47"/>
      <c r="F510" s="47"/>
      <c r="G510" s="44"/>
      <c r="H510" s="53">
        <f>J510*I510</f>
        <v>881.46</v>
      </c>
      <c r="I510" s="70">
        <v>1.0620000000000001</v>
      </c>
      <c r="J510" s="44">
        <v>830</v>
      </c>
      <c r="K510" s="70"/>
      <c r="L510" s="44"/>
      <c r="M510" s="47"/>
      <c r="N510" s="44"/>
      <c r="O510" s="70"/>
      <c r="P510" s="44"/>
      <c r="Q510" s="70"/>
      <c r="R510" s="44"/>
      <c r="S510" s="44"/>
      <c r="T510" s="50"/>
      <c r="U510" s="44"/>
      <c r="V510" s="15">
        <f t="shared" si="180"/>
        <v>943.1622000000001</v>
      </c>
      <c r="W510" s="260">
        <f t="shared" si="181"/>
        <v>943.1622000000001</v>
      </c>
      <c r="X510" s="132">
        <f>1209*106.5%</f>
        <v>1287.585</v>
      </c>
    </row>
    <row r="511" spans="1:24" ht="14.1" customHeight="1" x14ac:dyDescent="0.25">
      <c r="A511" s="397"/>
      <c r="B511" s="33" t="s">
        <v>345</v>
      </c>
      <c r="C511" s="41"/>
      <c r="D511" s="47"/>
      <c r="E511" s="56">
        <v>30400</v>
      </c>
      <c r="F511" s="56">
        <f t="shared" si="166"/>
        <v>33196.800000000003</v>
      </c>
      <c r="G511" s="44">
        <v>36517</v>
      </c>
      <c r="H511" s="53">
        <f>J511*I511</f>
        <v>56646.867834390854</v>
      </c>
      <c r="I511" s="70">
        <v>1.0620000000000001</v>
      </c>
      <c r="J511" s="44">
        <f t="shared" si="177"/>
        <v>53339.800220707017</v>
      </c>
      <c r="K511" s="70">
        <v>1.0640000000000001</v>
      </c>
      <c r="L511" s="44">
        <f t="shared" si="169"/>
        <v>50131.391184875014</v>
      </c>
      <c r="M511" s="47">
        <v>1.07</v>
      </c>
      <c r="N511" s="44">
        <f t="shared" si="167"/>
        <v>46851.767462500007</v>
      </c>
      <c r="O511" s="70">
        <v>1.075</v>
      </c>
      <c r="P511" s="44">
        <f t="shared" si="155"/>
        <v>43583.039500000006</v>
      </c>
      <c r="Q511" s="70">
        <v>1.085</v>
      </c>
      <c r="R511" s="44">
        <f t="shared" si="178"/>
        <v>40168.700000000004</v>
      </c>
      <c r="S511" s="44">
        <f t="shared" si="179"/>
        <v>40168.700000000004</v>
      </c>
      <c r="T511" s="50">
        <v>1.1000000000000001</v>
      </c>
      <c r="U511" s="44">
        <f t="shared" si="179"/>
        <v>64370.10179493171</v>
      </c>
      <c r="V511" s="15">
        <f t="shared" si="180"/>
        <v>60612.148582798218</v>
      </c>
      <c r="W511" s="260">
        <f t="shared" si="181"/>
        <v>60612.148582798218</v>
      </c>
      <c r="X511" s="132">
        <f>77724*106.5%</f>
        <v>82776.06</v>
      </c>
    </row>
    <row r="512" spans="1:24" ht="48.75" customHeight="1" x14ac:dyDescent="0.25">
      <c r="A512" s="284" t="s">
        <v>705</v>
      </c>
      <c r="B512" s="147" t="s">
        <v>1018</v>
      </c>
      <c r="C512" s="163"/>
      <c r="D512" s="149"/>
      <c r="E512" s="149"/>
      <c r="F512" s="149"/>
      <c r="G512" s="149" t="s">
        <v>623</v>
      </c>
      <c r="H512" s="202">
        <v>52000</v>
      </c>
      <c r="I512" s="56"/>
      <c r="J512" s="56" t="s">
        <v>623</v>
      </c>
      <c r="K512" s="47"/>
      <c r="L512" s="56" t="s">
        <v>623</v>
      </c>
      <c r="M512" s="47"/>
      <c r="N512" s="44"/>
      <c r="O512" s="70">
        <v>1.075</v>
      </c>
      <c r="P512" s="56" t="s">
        <v>623</v>
      </c>
      <c r="Q512" s="70">
        <v>1.085</v>
      </c>
      <c r="R512" s="44" t="str">
        <f t="shared" si="178"/>
        <v>договорная</v>
      </c>
      <c r="S512" s="56" t="s">
        <v>623</v>
      </c>
      <c r="T512" s="50"/>
      <c r="U512" s="56" t="s">
        <v>623</v>
      </c>
      <c r="V512" s="15">
        <f t="shared" si="180"/>
        <v>55640</v>
      </c>
      <c r="W512" s="260">
        <f t="shared" si="181"/>
        <v>55640</v>
      </c>
      <c r="X512" s="132">
        <f>71348*106.5%</f>
        <v>75985.62</v>
      </c>
    </row>
    <row r="513" spans="1:24" ht="46.5" customHeight="1" x14ac:dyDescent="0.25">
      <c r="A513" s="284" t="s">
        <v>824</v>
      </c>
      <c r="B513" s="147" t="s">
        <v>1019</v>
      </c>
      <c r="C513" s="163"/>
      <c r="D513" s="149"/>
      <c r="E513" s="149"/>
      <c r="F513" s="149"/>
      <c r="G513" s="149"/>
      <c r="H513" s="202">
        <v>83200</v>
      </c>
      <c r="I513" s="56"/>
      <c r="J513" s="56"/>
      <c r="K513" s="47"/>
      <c r="L513" s="56"/>
      <c r="M513" s="47"/>
      <c r="N513" s="44"/>
      <c r="O513" s="70"/>
      <c r="P513" s="56"/>
      <c r="Q513" s="70"/>
      <c r="R513" s="44"/>
      <c r="S513" s="56"/>
      <c r="T513" s="50"/>
      <c r="U513" s="56"/>
      <c r="V513" s="15">
        <f t="shared" si="180"/>
        <v>89024</v>
      </c>
      <c r="W513" s="260">
        <f t="shared" si="181"/>
        <v>89024</v>
      </c>
      <c r="X513" s="132">
        <f>114158*106.5%</f>
        <v>121578.26999999999</v>
      </c>
    </row>
    <row r="514" spans="1:24" ht="47.25" customHeight="1" x14ac:dyDescent="0.25">
      <c r="A514" s="284" t="s">
        <v>1008</v>
      </c>
      <c r="B514" s="147" t="s">
        <v>1020</v>
      </c>
      <c r="C514" s="163"/>
      <c r="D514" s="149"/>
      <c r="E514" s="149"/>
      <c r="F514" s="149"/>
      <c r="G514" s="149" t="s">
        <v>623</v>
      </c>
      <c r="H514" s="202">
        <v>104000</v>
      </c>
      <c r="I514" s="56"/>
      <c r="J514" s="56" t="s">
        <v>623</v>
      </c>
      <c r="K514" s="47"/>
      <c r="L514" s="56" t="s">
        <v>623</v>
      </c>
      <c r="M514" s="47"/>
      <c r="N514" s="44"/>
      <c r="O514" s="70">
        <v>1.075</v>
      </c>
      <c r="P514" s="56" t="s">
        <v>623</v>
      </c>
      <c r="Q514" s="70">
        <v>1.085</v>
      </c>
      <c r="R514" s="44" t="str">
        <f t="shared" si="178"/>
        <v>договорная</v>
      </c>
      <c r="S514" s="56" t="s">
        <v>623</v>
      </c>
      <c r="T514" s="50"/>
      <c r="U514" s="56" t="s">
        <v>623</v>
      </c>
      <c r="V514" s="15">
        <f t="shared" si="180"/>
        <v>111280</v>
      </c>
      <c r="W514" s="260">
        <f t="shared" si="181"/>
        <v>111280</v>
      </c>
      <c r="X514" s="132">
        <f>142697*106.5%</f>
        <v>151972.30499999999</v>
      </c>
    </row>
    <row r="515" spans="1:24" ht="29.25" customHeight="1" x14ac:dyDescent="0.25">
      <c r="A515" s="284" t="s">
        <v>1009</v>
      </c>
      <c r="B515" s="147" t="s">
        <v>970</v>
      </c>
      <c r="C515" s="286"/>
      <c r="D515" s="286"/>
      <c r="E515" s="286"/>
      <c r="F515" s="286"/>
      <c r="G515" s="149" t="s">
        <v>623</v>
      </c>
      <c r="H515" s="150">
        <v>12000</v>
      </c>
      <c r="I515" s="56"/>
      <c r="J515" s="56" t="s">
        <v>623</v>
      </c>
      <c r="K515" s="47"/>
      <c r="L515" s="56" t="s">
        <v>623</v>
      </c>
      <c r="M515" s="47"/>
      <c r="N515" s="44"/>
      <c r="O515" s="70">
        <v>1.075</v>
      </c>
      <c r="P515" s="56" t="s">
        <v>623</v>
      </c>
      <c r="Q515" s="70">
        <v>1.085</v>
      </c>
      <c r="R515" s="44" t="str">
        <f t="shared" si="178"/>
        <v>договорная</v>
      </c>
      <c r="S515" s="56" t="s">
        <v>623</v>
      </c>
      <c r="T515" s="50"/>
      <c r="U515" s="56" t="s">
        <v>623</v>
      </c>
      <c r="V515" s="15">
        <f t="shared" si="180"/>
        <v>12840</v>
      </c>
      <c r="W515" s="260">
        <f t="shared" si="181"/>
        <v>12840</v>
      </c>
      <c r="X515" s="132">
        <f>16466*106.5%</f>
        <v>17536.29</v>
      </c>
    </row>
    <row r="516" spans="1:24" ht="15.95" customHeight="1" x14ac:dyDescent="0.25">
      <c r="A516" s="398" t="s">
        <v>950</v>
      </c>
      <c r="B516" s="399"/>
      <c r="C516" s="399"/>
      <c r="D516" s="399"/>
      <c r="E516" s="399"/>
      <c r="F516" s="399"/>
      <c r="G516" s="399"/>
      <c r="H516" s="399"/>
      <c r="I516" s="399"/>
      <c r="J516" s="400"/>
      <c r="K516" s="47"/>
      <c r="L516" s="44"/>
      <c r="M516" s="47"/>
      <c r="N516" s="44"/>
      <c r="O516" s="70"/>
      <c r="P516" s="44"/>
      <c r="Q516" s="70"/>
      <c r="R516" s="44"/>
      <c r="S516" s="44"/>
      <c r="T516" s="50"/>
      <c r="U516" s="44"/>
      <c r="V516" s="15"/>
      <c r="X516" s="85"/>
    </row>
    <row r="517" spans="1:24" ht="15.95" customHeight="1" x14ac:dyDescent="0.25">
      <c r="A517" s="410" t="s">
        <v>421</v>
      </c>
      <c r="B517" s="411"/>
      <c r="C517" s="411"/>
      <c r="D517" s="411"/>
      <c r="E517" s="411"/>
      <c r="F517" s="411"/>
      <c r="G517" s="411"/>
      <c r="H517" s="411"/>
      <c r="I517" s="411"/>
      <c r="J517" s="412"/>
      <c r="K517" s="47"/>
      <c r="L517" s="44"/>
      <c r="M517" s="47"/>
      <c r="N517" s="44"/>
      <c r="O517" s="70"/>
      <c r="P517" s="44"/>
      <c r="Q517" s="70"/>
      <c r="R517" s="44"/>
      <c r="S517" s="44"/>
      <c r="T517" s="50"/>
      <c r="U517" s="44"/>
      <c r="V517" s="15"/>
      <c r="X517" s="85"/>
    </row>
    <row r="518" spans="1:24" ht="14.1" customHeight="1" x14ac:dyDescent="0.25">
      <c r="A518" s="128" t="s">
        <v>363</v>
      </c>
      <c r="B518" s="345" t="s">
        <v>381</v>
      </c>
      <c r="C518" s="346"/>
      <c r="D518" s="346"/>
      <c r="E518" s="346"/>
      <c r="F518" s="346"/>
      <c r="G518" s="346"/>
      <c r="H518" s="346"/>
      <c r="I518" s="346"/>
      <c r="J518" s="347"/>
      <c r="K518" s="47"/>
      <c r="L518" s="44"/>
      <c r="M518" s="47"/>
      <c r="N518" s="44"/>
      <c r="O518" s="70"/>
      <c r="P518" s="44"/>
      <c r="Q518" s="70"/>
      <c r="R518" s="44"/>
      <c r="S518" s="44"/>
      <c r="T518" s="50"/>
      <c r="U518" s="44"/>
      <c r="V518" s="15"/>
      <c r="X518" s="85"/>
    </row>
    <row r="519" spans="1:24" ht="14.1" customHeight="1" x14ac:dyDescent="0.25">
      <c r="A519" s="395"/>
      <c r="B519" s="33" t="s">
        <v>647</v>
      </c>
      <c r="C519" s="41">
        <v>183</v>
      </c>
      <c r="D519" s="47">
        <f>C519*1.0582</f>
        <v>193.6506</v>
      </c>
      <c r="E519" s="47">
        <f>ROUND(D519,0)</f>
        <v>194</v>
      </c>
      <c r="F519" s="47">
        <f>E519*1.092</f>
        <v>211.84800000000001</v>
      </c>
      <c r="G519" s="44">
        <v>233</v>
      </c>
      <c r="H519" s="53">
        <f>J519*I519</f>
        <v>361.01736340992005</v>
      </c>
      <c r="I519" s="70">
        <v>1.0620000000000001</v>
      </c>
      <c r="J519" s="44">
        <f>K519*L519</f>
        <v>339.94102016000005</v>
      </c>
      <c r="K519" s="70">
        <v>1.0640000000000001</v>
      </c>
      <c r="L519" s="44">
        <f>M519*N519</f>
        <v>319.49344000000002</v>
      </c>
      <c r="M519" s="47">
        <v>1.07</v>
      </c>
      <c r="N519" s="44">
        <f t="shared" si="167"/>
        <v>298.59199999999998</v>
      </c>
      <c r="O519" s="70">
        <v>1.075</v>
      </c>
      <c r="P519" s="44">
        <f>Q519*R519</f>
        <v>277.76</v>
      </c>
      <c r="Q519" s="70">
        <v>1.085</v>
      </c>
      <c r="R519" s="44">
        <v>256</v>
      </c>
      <c r="S519" s="44">
        <f>G519*T519</f>
        <v>256.3</v>
      </c>
      <c r="T519" s="50">
        <v>1.1000000000000001</v>
      </c>
      <c r="U519" s="44">
        <f>I519*V519</f>
        <v>410.23847073722857</v>
      </c>
      <c r="V519" s="15">
        <f>H519*107%</f>
        <v>386.28857884861446</v>
      </c>
      <c r="W519" s="260">
        <f>V519</f>
        <v>386.28857884861446</v>
      </c>
      <c r="X519" s="132">
        <f>495*106.5%</f>
        <v>527.17499999999995</v>
      </c>
    </row>
    <row r="520" spans="1:24" ht="14.1" customHeight="1" x14ac:dyDescent="0.25">
      <c r="A520" s="396"/>
      <c r="B520" s="33" t="s">
        <v>553</v>
      </c>
      <c r="C520" s="85"/>
      <c r="D520" s="85"/>
      <c r="E520" s="99"/>
      <c r="F520" s="85"/>
      <c r="G520" s="100"/>
      <c r="H520" s="53">
        <f>J520*I520</f>
        <v>155.1246483402</v>
      </c>
      <c r="I520" s="70">
        <v>1.0620000000000001</v>
      </c>
      <c r="J520" s="44">
        <f>K520*L520</f>
        <v>146.0684071</v>
      </c>
      <c r="K520" s="70">
        <v>1.0640000000000001</v>
      </c>
      <c r="L520" s="44">
        <f>M520*N520</f>
        <v>137.28233749999998</v>
      </c>
      <c r="M520" s="47">
        <v>1.07</v>
      </c>
      <c r="N520" s="44">
        <f t="shared" si="167"/>
        <v>128.30124999999998</v>
      </c>
      <c r="O520" s="70">
        <v>1.075</v>
      </c>
      <c r="P520" s="44">
        <f t="shared" ref="P520:P589" si="182">Q520*R520</f>
        <v>119.35</v>
      </c>
      <c r="Q520" s="70">
        <v>1.085</v>
      </c>
      <c r="R520" s="44">
        <v>110</v>
      </c>
      <c r="S520" s="42">
        <v>110</v>
      </c>
      <c r="T520" s="85"/>
      <c r="U520" s="42">
        <v>110</v>
      </c>
      <c r="V520" s="15">
        <f>H520*107%</f>
        <v>165.983373724014</v>
      </c>
      <c r="W520" s="132">
        <f>V520</f>
        <v>165.983373724014</v>
      </c>
      <c r="X520" s="132">
        <f>213*106.5%</f>
        <v>226.845</v>
      </c>
    </row>
    <row r="521" spans="1:24" ht="14.1" customHeight="1" x14ac:dyDescent="0.25">
      <c r="A521" s="397"/>
      <c r="B521" s="33" t="s">
        <v>648</v>
      </c>
      <c r="C521" s="41"/>
      <c r="D521" s="47"/>
      <c r="E521" s="47"/>
      <c r="F521" s="47">
        <v>512</v>
      </c>
      <c r="G521" s="44">
        <v>363</v>
      </c>
      <c r="H521" s="53">
        <f>J521*I521</f>
        <v>511.91133952266</v>
      </c>
      <c r="I521" s="70">
        <v>1.0620000000000001</v>
      </c>
      <c r="J521" s="44">
        <f>K521*L521</f>
        <v>482.02574342999998</v>
      </c>
      <c r="K521" s="70">
        <v>1.0640000000000001</v>
      </c>
      <c r="L521" s="44">
        <f>M521*N521</f>
        <v>453.03171374999994</v>
      </c>
      <c r="M521" s="47">
        <v>1.07</v>
      </c>
      <c r="N521" s="44">
        <f t="shared" si="167"/>
        <v>423.39412499999992</v>
      </c>
      <c r="O521" s="70">
        <v>1.075</v>
      </c>
      <c r="P521" s="44">
        <f t="shared" si="182"/>
        <v>393.85499999999996</v>
      </c>
      <c r="Q521" s="70">
        <v>1.085</v>
      </c>
      <c r="R521" s="44">
        <v>363</v>
      </c>
      <c r="S521" s="44">
        <v>363</v>
      </c>
      <c r="T521" s="58" t="s">
        <v>672</v>
      </c>
      <c r="U521" s="44">
        <v>363</v>
      </c>
      <c r="V521" s="15">
        <f>H521*107%</f>
        <v>547.74513328924627</v>
      </c>
      <c r="W521" s="132">
        <f>V521</f>
        <v>547.74513328924627</v>
      </c>
      <c r="X521" s="132">
        <f>702*106.5%</f>
        <v>747.63</v>
      </c>
    </row>
    <row r="522" spans="1:24" ht="14.1" customHeight="1" x14ac:dyDescent="0.25">
      <c r="A522" s="128" t="s">
        <v>350</v>
      </c>
      <c r="B522" s="36" t="s">
        <v>44</v>
      </c>
      <c r="C522" s="40"/>
      <c r="D522" s="47"/>
      <c r="E522" s="47"/>
      <c r="F522" s="47">
        <v>300</v>
      </c>
      <c r="G522" s="44">
        <v>630</v>
      </c>
      <c r="H522" s="53">
        <f>J522*I522</f>
        <v>789.72548245920007</v>
      </c>
      <c r="I522" s="70">
        <v>1.0620000000000001</v>
      </c>
      <c r="J522" s="44">
        <f>K522*L522</f>
        <v>743.62098160000005</v>
      </c>
      <c r="K522" s="70">
        <v>1.0640000000000001</v>
      </c>
      <c r="L522" s="44">
        <f>M522*N522</f>
        <v>698.89189999999996</v>
      </c>
      <c r="M522" s="47">
        <v>1.07</v>
      </c>
      <c r="N522" s="44">
        <f t="shared" si="167"/>
        <v>653.16999999999996</v>
      </c>
      <c r="O522" s="70">
        <v>1.075</v>
      </c>
      <c r="P522" s="44">
        <f t="shared" si="182"/>
        <v>607.6</v>
      </c>
      <c r="Q522" s="70">
        <v>1.085</v>
      </c>
      <c r="R522" s="44">
        <f>S522</f>
        <v>560</v>
      </c>
      <c r="S522" s="44">
        <v>560</v>
      </c>
      <c r="T522" s="97" t="s">
        <v>277</v>
      </c>
      <c r="U522" s="44">
        <v>560</v>
      </c>
      <c r="V522" s="15">
        <f>H522*107%</f>
        <v>845.00626623134417</v>
      </c>
      <c r="W522" s="132">
        <f>V522</f>
        <v>845.00626623134417</v>
      </c>
      <c r="X522" s="132">
        <f>1084*106.5%</f>
        <v>1154.46</v>
      </c>
    </row>
    <row r="523" spans="1:24" s="18" customFormat="1" ht="30" customHeight="1" x14ac:dyDescent="0.25">
      <c r="A523" s="128" t="s">
        <v>351</v>
      </c>
      <c r="B523" s="36" t="s">
        <v>1016</v>
      </c>
      <c r="C523" s="40"/>
      <c r="D523" s="47"/>
      <c r="E523" s="47"/>
      <c r="F523" s="47">
        <v>427</v>
      </c>
      <c r="G523" s="44">
        <v>350</v>
      </c>
      <c r="H523" s="198">
        <f>J523*I523</f>
        <v>514.73178767429999</v>
      </c>
      <c r="I523" s="70">
        <v>1.0620000000000001</v>
      </c>
      <c r="J523" s="44">
        <f>K523*L523</f>
        <v>484.68153265000001</v>
      </c>
      <c r="K523" s="70">
        <v>1.0640000000000001</v>
      </c>
      <c r="L523" s="44">
        <f>M523*N523</f>
        <v>455.52775624999998</v>
      </c>
      <c r="M523" s="47">
        <v>1.07</v>
      </c>
      <c r="N523" s="44">
        <f t="shared" si="167"/>
        <v>425.72687499999995</v>
      </c>
      <c r="O523" s="70">
        <v>1.075</v>
      </c>
      <c r="P523" s="44">
        <f t="shared" si="182"/>
        <v>396.02499999999998</v>
      </c>
      <c r="Q523" s="70">
        <v>1.085</v>
      </c>
      <c r="R523" s="44">
        <v>365</v>
      </c>
      <c r="S523" s="44">
        <v>365</v>
      </c>
      <c r="T523" s="58" t="s">
        <v>672</v>
      </c>
      <c r="U523" s="44">
        <v>365</v>
      </c>
      <c r="V523" s="15">
        <f>H523*107%</f>
        <v>550.76301281150097</v>
      </c>
      <c r="W523" s="132">
        <f>V523</f>
        <v>550.76301281150097</v>
      </c>
      <c r="X523" s="132">
        <f>707*106.5%</f>
        <v>752.95499999999993</v>
      </c>
    </row>
    <row r="524" spans="1:24" s="18" customFormat="1" ht="76.5" customHeight="1" x14ac:dyDescent="0.25">
      <c r="A524" s="128" t="s">
        <v>710</v>
      </c>
      <c r="B524" s="36" t="s">
        <v>992</v>
      </c>
      <c r="C524" s="40"/>
      <c r="D524" s="47"/>
      <c r="E524" s="47"/>
      <c r="F524" s="47"/>
      <c r="G524" s="44"/>
      <c r="H524" s="56" t="s">
        <v>623</v>
      </c>
      <c r="I524" s="44"/>
      <c r="J524" s="56" t="s">
        <v>623</v>
      </c>
      <c r="K524" s="47"/>
      <c r="L524" s="56" t="s">
        <v>623</v>
      </c>
      <c r="M524" s="47"/>
      <c r="N524" s="44"/>
      <c r="O524" s="70">
        <v>1.075</v>
      </c>
      <c r="P524" s="56" t="s">
        <v>623</v>
      </c>
      <c r="Q524" s="70">
        <v>1.085</v>
      </c>
      <c r="R524" s="44" t="str">
        <f>S524</f>
        <v>договорная</v>
      </c>
      <c r="S524" s="56" t="s">
        <v>623</v>
      </c>
      <c r="T524" s="50"/>
      <c r="U524" s="56" t="s">
        <v>623</v>
      </c>
      <c r="V524" s="15"/>
      <c r="W524" s="85" t="s">
        <v>623</v>
      </c>
      <c r="X524" s="132">
        <f>2637*106.5%</f>
        <v>2808.4049999999997</v>
      </c>
    </row>
    <row r="525" spans="1:24" s="18" customFormat="1" ht="15.95" customHeight="1" x14ac:dyDescent="0.25">
      <c r="A525" s="381" t="s">
        <v>619</v>
      </c>
      <c r="B525" s="382"/>
      <c r="C525" s="382"/>
      <c r="D525" s="382"/>
      <c r="E525" s="382"/>
      <c r="F525" s="382"/>
      <c r="G525" s="382"/>
      <c r="H525" s="382"/>
      <c r="I525" s="382"/>
      <c r="J525" s="383"/>
      <c r="K525" s="47"/>
      <c r="L525" s="44"/>
      <c r="M525" s="47"/>
      <c r="N525" s="44"/>
      <c r="O525" s="70"/>
      <c r="P525" s="44"/>
      <c r="Q525" s="70"/>
      <c r="R525" s="44"/>
      <c r="S525" s="44"/>
      <c r="T525" s="50"/>
      <c r="U525" s="44"/>
      <c r="V525" s="15"/>
      <c r="X525" s="132"/>
    </row>
    <row r="526" spans="1:24" ht="14.1" customHeight="1" x14ac:dyDescent="0.25">
      <c r="A526" s="128" t="s">
        <v>610</v>
      </c>
      <c r="B526" s="356" t="s">
        <v>228</v>
      </c>
      <c r="C526" s="357"/>
      <c r="D526" s="357"/>
      <c r="E526" s="357"/>
      <c r="F526" s="357"/>
      <c r="G526" s="357"/>
      <c r="H526" s="357"/>
      <c r="I526" s="357"/>
      <c r="J526" s="358"/>
      <c r="K526" s="47"/>
      <c r="L526" s="44"/>
      <c r="M526" s="47"/>
      <c r="N526" s="44"/>
      <c r="O526" s="70"/>
      <c r="P526" s="44"/>
      <c r="Q526" s="70"/>
      <c r="R526" s="44"/>
      <c r="S526" s="44"/>
      <c r="T526" s="50"/>
      <c r="U526" s="44"/>
      <c r="V526" s="15"/>
      <c r="X526" s="132"/>
    </row>
    <row r="527" spans="1:24" ht="29.25" customHeight="1" x14ac:dyDescent="0.25">
      <c r="A527" s="395"/>
      <c r="B527" s="33" t="s">
        <v>891</v>
      </c>
      <c r="C527" s="40">
        <v>739</v>
      </c>
      <c r="D527" s="47">
        <f>C527*1.0582</f>
        <v>782.00980000000004</v>
      </c>
      <c r="E527" s="47">
        <f>ROUND(D527,0)</f>
        <v>782</v>
      </c>
      <c r="F527" s="47">
        <f t="shared" si="166"/>
        <v>853.94400000000007</v>
      </c>
      <c r="G527" s="44">
        <v>995</v>
      </c>
      <c r="H527" s="53">
        <f>J527*I527</f>
        <v>1544.1953630229004</v>
      </c>
      <c r="I527" s="70">
        <v>1.0620000000000001</v>
      </c>
      <c r="J527" s="44">
        <f>K527*L527</f>
        <v>1454.0445979500003</v>
      </c>
      <c r="K527" s="70">
        <v>1.0640000000000001</v>
      </c>
      <c r="L527" s="44">
        <f>M527*N527</f>
        <v>1366.5832687500001</v>
      </c>
      <c r="M527" s="47">
        <v>1.07</v>
      </c>
      <c r="N527" s="44">
        <f t="shared" si="167"/>
        <v>1277.180625</v>
      </c>
      <c r="O527" s="70">
        <v>1.075</v>
      </c>
      <c r="P527" s="44">
        <f t="shared" si="182"/>
        <v>1188.075</v>
      </c>
      <c r="Q527" s="70">
        <v>1.085</v>
      </c>
      <c r="R527" s="44">
        <v>1095</v>
      </c>
      <c r="S527" s="44">
        <f>G527*T527</f>
        <v>1094.5</v>
      </c>
      <c r="T527" s="50">
        <v>1.1000000000000001</v>
      </c>
      <c r="U527" s="44">
        <f>I527*V527</f>
        <v>1754.7309588174428</v>
      </c>
      <c r="V527" s="15">
        <f>H527*107%</f>
        <v>1652.2890384345035</v>
      </c>
      <c r="W527" s="260">
        <f>V527</f>
        <v>1652.2890384345035</v>
      </c>
      <c r="X527" s="132">
        <f>4866*106.5%</f>
        <v>5182.29</v>
      </c>
    </row>
    <row r="528" spans="1:24" ht="29.25" customHeight="1" x14ac:dyDescent="0.25">
      <c r="A528" s="396"/>
      <c r="B528" s="33" t="s">
        <v>892</v>
      </c>
      <c r="C528" s="40">
        <v>369</v>
      </c>
      <c r="D528" s="47">
        <f>C528*1.0582</f>
        <v>390.47579999999999</v>
      </c>
      <c r="E528" s="47">
        <f>ROUND(D528,0)</f>
        <v>390</v>
      </c>
      <c r="F528" s="47">
        <f t="shared" si="166"/>
        <v>425.88000000000005</v>
      </c>
      <c r="G528" s="44">
        <v>524</v>
      </c>
      <c r="H528" s="53">
        <f>J528*I528</f>
        <v>812.28906767232024</v>
      </c>
      <c r="I528" s="70">
        <v>1.0620000000000001</v>
      </c>
      <c r="J528" s="44">
        <f>K528*L528</f>
        <v>764.86729536000018</v>
      </c>
      <c r="K528" s="70">
        <v>1.0640000000000001</v>
      </c>
      <c r="L528" s="44">
        <f t="shared" ref="L528:L546" si="183">M528*N528</f>
        <v>718.86024000000009</v>
      </c>
      <c r="M528" s="47">
        <v>1.07</v>
      </c>
      <c r="N528" s="44">
        <f t="shared" si="167"/>
        <v>671.83199999999999</v>
      </c>
      <c r="O528" s="70">
        <v>1.075</v>
      </c>
      <c r="P528" s="44">
        <f t="shared" si="182"/>
        <v>624.96</v>
      </c>
      <c r="Q528" s="70">
        <v>1.085</v>
      </c>
      <c r="R528" s="44">
        <v>576</v>
      </c>
      <c r="S528" s="44">
        <f>G528*T528</f>
        <v>576.40000000000009</v>
      </c>
      <c r="T528" s="50">
        <v>1.1000000000000001</v>
      </c>
      <c r="U528" s="44">
        <f>I528*V528</f>
        <v>923.03655915876448</v>
      </c>
      <c r="V528" s="15">
        <f>H528*107%</f>
        <v>869.1493024093827</v>
      </c>
      <c r="W528" s="260">
        <f>V528</f>
        <v>869.1493024093827</v>
      </c>
      <c r="X528" s="132">
        <f>2005*106.5%</f>
        <v>2135.3249999999998</v>
      </c>
    </row>
    <row r="529" spans="1:24" ht="29.25" customHeight="1" x14ac:dyDescent="0.25">
      <c r="A529" s="396"/>
      <c r="B529" s="33" t="s">
        <v>946</v>
      </c>
      <c r="C529" s="296"/>
      <c r="D529" s="297"/>
      <c r="E529" s="297"/>
      <c r="F529" s="297"/>
      <c r="G529" s="298"/>
      <c r="H529" s="322"/>
      <c r="I529" s="318"/>
      <c r="J529" s="305"/>
      <c r="K529" s="70"/>
      <c r="L529" s="44"/>
      <c r="M529" s="47"/>
      <c r="N529" s="44"/>
      <c r="O529" s="70"/>
      <c r="P529" s="44"/>
      <c r="Q529" s="70"/>
      <c r="R529" s="44"/>
      <c r="S529" s="44"/>
      <c r="T529" s="50"/>
      <c r="U529" s="44"/>
      <c r="V529" s="15"/>
      <c r="W529" s="30"/>
      <c r="X529" s="132">
        <f>4866*106.5%</f>
        <v>5182.29</v>
      </c>
    </row>
    <row r="530" spans="1:24" ht="28.5" customHeight="1" x14ac:dyDescent="0.25">
      <c r="A530" s="397"/>
      <c r="B530" s="33" t="s">
        <v>947</v>
      </c>
      <c r="C530" s="296"/>
      <c r="D530" s="297"/>
      <c r="E530" s="297"/>
      <c r="F530" s="297"/>
      <c r="G530" s="298"/>
      <c r="H530" s="322"/>
      <c r="I530" s="318"/>
      <c r="J530" s="305"/>
      <c r="K530" s="70"/>
      <c r="L530" s="44"/>
      <c r="M530" s="47"/>
      <c r="N530" s="44"/>
      <c r="O530" s="70"/>
      <c r="P530" s="44"/>
      <c r="Q530" s="70"/>
      <c r="R530" s="44"/>
      <c r="S530" s="44"/>
      <c r="T530" s="50"/>
      <c r="U530" s="44"/>
      <c r="V530" s="15"/>
      <c r="W530" s="30"/>
      <c r="X530" s="132">
        <f>2005*106.5%</f>
        <v>2135.3249999999998</v>
      </c>
    </row>
    <row r="531" spans="1:24" ht="14.1" customHeight="1" x14ac:dyDescent="0.25">
      <c r="A531" s="128" t="s">
        <v>611</v>
      </c>
      <c r="B531" s="356" t="s">
        <v>940</v>
      </c>
      <c r="C531" s="357"/>
      <c r="D531" s="357"/>
      <c r="E531" s="357"/>
      <c r="F531" s="357"/>
      <c r="G531" s="357"/>
      <c r="H531" s="357"/>
      <c r="I531" s="357"/>
      <c r="J531" s="358"/>
      <c r="K531" s="47"/>
      <c r="L531" s="44"/>
      <c r="M531" s="47"/>
      <c r="N531" s="44"/>
      <c r="O531" s="70"/>
      <c r="P531" s="44"/>
      <c r="Q531" s="70"/>
      <c r="R531" s="44"/>
      <c r="S531" s="44"/>
      <c r="T531" s="50"/>
      <c r="U531" s="44"/>
      <c r="V531" s="15"/>
      <c r="X531" s="132"/>
    </row>
    <row r="532" spans="1:24" ht="14.1" customHeight="1" x14ac:dyDescent="0.25">
      <c r="A532" s="395"/>
      <c r="B532" s="104" t="s">
        <v>422</v>
      </c>
      <c r="C532" s="40">
        <v>625</v>
      </c>
      <c r="D532" s="47">
        <f>C532*1.0582</f>
        <v>661.375</v>
      </c>
      <c r="E532" s="47">
        <f>ROUND(D532,0)</f>
        <v>661</v>
      </c>
      <c r="F532" s="47">
        <f t="shared" si="166"/>
        <v>721.81200000000001</v>
      </c>
      <c r="G532" s="44">
        <v>850</v>
      </c>
      <c r="H532" s="53">
        <f>J532*I532</f>
        <v>1318.5595108917003</v>
      </c>
      <c r="I532" s="70">
        <v>1.0620000000000001</v>
      </c>
      <c r="J532" s="44">
        <f>K532*L532</f>
        <v>1241.5814603500003</v>
      </c>
      <c r="K532" s="70">
        <v>1.0640000000000001</v>
      </c>
      <c r="L532" s="44">
        <f t="shared" si="183"/>
        <v>1166.8998687500002</v>
      </c>
      <c r="M532" s="47">
        <v>1.07</v>
      </c>
      <c r="N532" s="44">
        <f t="shared" si="167"/>
        <v>1090.5606250000001</v>
      </c>
      <c r="O532" s="70">
        <v>1.075</v>
      </c>
      <c r="P532" s="44">
        <f t="shared" si="182"/>
        <v>1014.475</v>
      </c>
      <c r="Q532" s="70">
        <v>1.085</v>
      </c>
      <c r="R532" s="44">
        <v>935</v>
      </c>
      <c r="S532" s="44">
        <f>G532*T532</f>
        <v>935.00000000000011</v>
      </c>
      <c r="T532" s="50">
        <v>1.1000000000000001</v>
      </c>
      <c r="U532" s="44">
        <f>I532*V532</f>
        <v>1498.3319146066749</v>
      </c>
      <c r="V532" s="15">
        <f>H532*107%</f>
        <v>1410.8586766541193</v>
      </c>
      <c r="W532" s="260">
        <f>V532</f>
        <v>1410.8586766541193</v>
      </c>
      <c r="X532" s="132">
        <f>3778*106.5%</f>
        <v>4023.5699999999997</v>
      </c>
    </row>
    <row r="533" spans="1:24" ht="14.1" customHeight="1" x14ac:dyDescent="0.25">
      <c r="A533" s="397"/>
      <c r="B533" s="104" t="s">
        <v>423</v>
      </c>
      <c r="C533" s="40">
        <v>242</v>
      </c>
      <c r="D533" s="47">
        <f>C533*1.0582</f>
        <v>256.08440000000002</v>
      </c>
      <c r="E533" s="47">
        <f>ROUND(D533,0)</f>
        <v>256</v>
      </c>
      <c r="F533" s="47">
        <v>361</v>
      </c>
      <c r="G533" s="44">
        <v>850</v>
      </c>
      <c r="H533" s="53">
        <f>J533*I533</f>
        <v>1318.5595108917003</v>
      </c>
      <c r="I533" s="70">
        <v>1.0620000000000001</v>
      </c>
      <c r="J533" s="44">
        <f>K533*L533</f>
        <v>1241.5814603500003</v>
      </c>
      <c r="K533" s="70">
        <v>1.0640000000000001</v>
      </c>
      <c r="L533" s="44">
        <f t="shared" si="183"/>
        <v>1166.8998687500002</v>
      </c>
      <c r="M533" s="47">
        <v>1.07</v>
      </c>
      <c r="N533" s="44">
        <f t="shared" si="167"/>
        <v>1090.5606250000001</v>
      </c>
      <c r="O533" s="70">
        <v>1.075</v>
      </c>
      <c r="P533" s="44">
        <f t="shared" si="182"/>
        <v>1014.4750000000001</v>
      </c>
      <c r="Q533" s="70">
        <v>1.085</v>
      </c>
      <c r="R533" s="44">
        <f>S533</f>
        <v>935.00000000000011</v>
      </c>
      <c r="S533" s="44">
        <f>G533*T533</f>
        <v>935.00000000000011</v>
      </c>
      <c r="T533" s="50">
        <v>1.1000000000000001</v>
      </c>
      <c r="U533" s="44">
        <f>I533*V533</f>
        <v>1498.3319146066749</v>
      </c>
      <c r="V533" s="15">
        <f>H533*107%</f>
        <v>1410.8586766541193</v>
      </c>
      <c r="W533" s="260">
        <f>V533</f>
        <v>1410.8586766541193</v>
      </c>
      <c r="X533" s="132">
        <f>3559*106.5%</f>
        <v>3790.335</v>
      </c>
    </row>
    <row r="534" spans="1:24" ht="14.1" customHeight="1" x14ac:dyDescent="0.25">
      <c r="A534" s="128" t="s">
        <v>353</v>
      </c>
      <c r="B534" s="345" t="s">
        <v>230</v>
      </c>
      <c r="C534" s="346"/>
      <c r="D534" s="346"/>
      <c r="E534" s="346"/>
      <c r="F534" s="346"/>
      <c r="G534" s="346"/>
      <c r="H534" s="346"/>
      <c r="I534" s="346"/>
      <c r="J534" s="347"/>
      <c r="K534" s="47"/>
      <c r="L534" s="44"/>
      <c r="M534" s="47"/>
      <c r="N534" s="44"/>
      <c r="O534" s="70">
        <v>1.075</v>
      </c>
      <c r="P534" s="44"/>
      <c r="Q534" s="70"/>
      <c r="R534" s="44"/>
      <c r="S534" s="44"/>
      <c r="T534" s="50"/>
      <c r="U534" s="44"/>
      <c r="V534" s="15"/>
      <c r="X534" s="132"/>
    </row>
    <row r="535" spans="1:24" ht="14.1" customHeight="1" x14ac:dyDescent="0.25">
      <c r="A535" s="395"/>
      <c r="B535" s="104" t="s">
        <v>424</v>
      </c>
      <c r="C535" s="40">
        <v>739</v>
      </c>
      <c r="D535" s="47">
        <f>C535*1.0582</f>
        <v>782.00980000000004</v>
      </c>
      <c r="E535" s="47">
        <f>ROUND(D535,0)</f>
        <v>782</v>
      </c>
      <c r="F535" s="47">
        <f t="shared" si="166"/>
        <v>853.94400000000007</v>
      </c>
      <c r="G535" s="44">
        <v>994</v>
      </c>
      <c r="H535" s="53">
        <f>J535*I535</f>
        <v>1541.37491487126</v>
      </c>
      <c r="I535" s="70">
        <v>1.0620000000000001</v>
      </c>
      <c r="J535" s="44">
        <f>K535*L535</f>
        <v>1451.3888087299999</v>
      </c>
      <c r="K535" s="70">
        <v>1.0640000000000001</v>
      </c>
      <c r="L535" s="44">
        <f t="shared" si="183"/>
        <v>1364.08722625</v>
      </c>
      <c r="M535" s="47">
        <v>1.07</v>
      </c>
      <c r="N535" s="44">
        <f t="shared" si="167"/>
        <v>1274.8478749999999</v>
      </c>
      <c r="O535" s="70">
        <v>1.075</v>
      </c>
      <c r="P535" s="44">
        <f t="shared" si="182"/>
        <v>1185.905</v>
      </c>
      <c r="Q535" s="70">
        <v>1.085</v>
      </c>
      <c r="R535" s="44">
        <v>1093</v>
      </c>
      <c r="S535" s="44">
        <f>G535*T535</f>
        <v>1093.4000000000001</v>
      </c>
      <c r="T535" s="50">
        <v>1.1000000000000001</v>
      </c>
      <c r="U535" s="44">
        <f>I535*V535</f>
        <v>1751.5259707648077</v>
      </c>
      <c r="V535" s="15">
        <f>H535*107%</f>
        <v>1649.2711589122482</v>
      </c>
      <c r="W535" s="260">
        <f>V535</f>
        <v>1649.2711589122482</v>
      </c>
      <c r="X535" s="132">
        <f>2115*106.5%</f>
        <v>2252.4749999999999</v>
      </c>
    </row>
    <row r="536" spans="1:24" ht="14.1" customHeight="1" x14ac:dyDescent="0.25">
      <c r="A536" s="397"/>
      <c r="B536" s="104" t="s">
        <v>425</v>
      </c>
      <c r="C536" s="40">
        <v>398</v>
      </c>
      <c r="D536" s="47">
        <f>C536*1.0582</f>
        <v>421.16360000000003</v>
      </c>
      <c r="E536" s="47">
        <f>ROUND(D536,0)</f>
        <v>421</v>
      </c>
      <c r="F536" s="47">
        <f t="shared" si="166"/>
        <v>459.73200000000003</v>
      </c>
      <c r="G536" s="44">
        <v>561</v>
      </c>
      <c r="H536" s="53">
        <f>J536*I536</f>
        <v>870.10825478094</v>
      </c>
      <c r="I536" s="70">
        <v>1.0620000000000001</v>
      </c>
      <c r="J536" s="44">
        <f>K536*L536</f>
        <v>819.31097436999994</v>
      </c>
      <c r="K536" s="70">
        <v>1.0640000000000001</v>
      </c>
      <c r="L536" s="44">
        <f t="shared" si="183"/>
        <v>770.02911124999991</v>
      </c>
      <c r="M536" s="47">
        <v>1.07</v>
      </c>
      <c r="N536" s="44">
        <f t="shared" si="167"/>
        <v>719.65337499999987</v>
      </c>
      <c r="O536" s="70">
        <v>1.075</v>
      </c>
      <c r="P536" s="44">
        <f t="shared" si="182"/>
        <v>669.44499999999994</v>
      </c>
      <c r="Q536" s="70">
        <v>1.085</v>
      </c>
      <c r="R536" s="44">
        <v>617</v>
      </c>
      <c r="S536" s="44">
        <f>G536*T536</f>
        <v>617.1</v>
      </c>
      <c r="T536" s="50">
        <v>1.1000000000000001</v>
      </c>
      <c r="U536" s="44">
        <f>I536*V536</f>
        <v>988.73881423777345</v>
      </c>
      <c r="V536" s="15">
        <f>H536*107%</f>
        <v>931.01583261560586</v>
      </c>
      <c r="W536" s="260">
        <f>V536</f>
        <v>931.01583261560586</v>
      </c>
      <c r="X536" s="132">
        <f>1193*106.5%</f>
        <v>1270.5449999999998</v>
      </c>
    </row>
    <row r="537" spans="1:24" ht="32.25" customHeight="1" x14ac:dyDescent="0.25">
      <c r="A537" s="128" t="s">
        <v>354</v>
      </c>
      <c r="B537" s="345" t="s">
        <v>18</v>
      </c>
      <c r="C537" s="346"/>
      <c r="D537" s="346"/>
      <c r="E537" s="346"/>
      <c r="F537" s="346"/>
      <c r="G537" s="346"/>
      <c r="H537" s="346"/>
      <c r="I537" s="346"/>
      <c r="J537" s="347"/>
      <c r="K537" s="47"/>
      <c r="L537" s="44"/>
      <c r="M537" s="47"/>
      <c r="N537" s="44"/>
      <c r="O537" s="70"/>
      <c r="P537" s="44"/>
      <c r="Q537" s="70"/>
      <c r="R537" s="44"/>
      <c r="S537" s="44"/>
      <c r="T537" s="50"/>
      <c r="U537" s="44"/>
      <c r="V537" s="15"/>
      <c r="X537" s="132"/>
    </row>
    <row r="538" spans="1:24" ht="14.1" customHeight="1" x14ac:dyDescent="0.25">
      <c r="A538" s="395"/>
      <c r="B538" s="104" t="s">
        <v>426</v>
      </c>
      <c r="C538" s="40">
        <v>1592</v>
      </c>
      <c r="D538" s="47">
        <f>C538*1.0582</f>
        <v>1684.6544000000001</v>
      </c>
      <c r="E538" s="47">
        <f>ROUND(D538,0)</f>
        <v>1685</v>
      </c>
      <c r="F538" s="47">
        <f t="shared" si="166"/>
        <v>1840.0200000000002</v>
      </c>
      <c r="G538" s="44">
        <v>2024</v>
      </c>
      <c r="H538" s="53">
        <f t="shared" ref="H538:H544" si="184">J538*I538</f>
        <v>3139.1587927753208</v>
      </c>
      <c r="I538" s="70">
        <v>1.0620000000000001</v>
      </c>
      <c r="J538" s="44">
        <f t="shared" ref="J538:J544" si="185">K538*L538</f>
        <v>2955.8934018600007</v>
      </c>
      <c r="K538" s="70">
        <v>1.0640000000000001</v>
      </c>
      <c r="L538" s="44">
        <f t="shared" si="183"/>
        <v>2778.0953025000003</v>
      </c>
      <c r="M538" s="47">
        <v>1.07</v>
      </c>
      <c r="N538" s="44">
        <f t="shared" si="167"/>
        <v>2596.3507500000001</v>
      </c>
      <c r="O538" s="70">
        <v>1.075</v>
      </c>
      <c r="P538" s="44">
        <f>Q538*R538</f>
        <v>2415.21</v>
      </c>
      <c r="Q538" s="70">
        <v>1.085</v>
      </c>
      <c r="R538" s="44">
        <v>2226</v>
      </c>
      <c r="S538" s="44">
        <f>G538*T538</f>
        <v>2226.4</v>
      </c>
      <c r="T538" s="50">
        <v>1.1000000000000001</v>
      </c>
      <c r="U538" s="44">
        <f>I538*V538</f>
        <v>3567.1517025823082</v>
      </c>
      <c r="V538" s="15">
        <f t="shared" ref="V538:V544" si="186">H538*107%</f>
        <v>3358.8999082695932</v>
      </c>
      <c r="W538" s="260">
        <f t="shared" ref="W538:W544" si="187">V538</f>
        <v>3358.8999082695932</v>
      </c>
      <c r="X538" s="132">
        <f>4308*106.5%</f>
        <v>4588.0199999999995</v>
      </c>
    </row>
    <row r="539" spans="1:24" ht="14.1" customHeight="1" x14ac:dyDescent="0.25">
      <c r="A539" s="396"/>
      <c r="B539" s="33" t="s">
        <v>427</v>
      </c>
      <c r="C539" s="40">
        <v>1713</v>
      </c>
      <c r="D539" s="47">
        <f>C539*1.0582</f>
        <v>1812.6966</v>
      </c>
      <c r="E539" s="47">
        <f>ROUND(D539,0)</f>
        <v>1813</v>
      </c>
      <c r="F539" s="47">
        <f t="shared" si="166"/>
        <v>1979.796</v>
      </c>
      <c r="G539" s="44">
        <v>2178</v>
      </c>
      <c r="H539" s="53">
        <f t="shared" si="184"/>
        <v>3378.8968856647202</v>
      </c>
      <c r="I539" s="70">
        <v>1.0620000000000001</v>
      </c>
      <c r="J539" s="44">
        <f t="shared" si="185"/>
        <v>3181.6354855600002</v>
      </c>
      <c r="K539" s="70">
        <v>1.0640000000000001</v>
      </c>
      <c r="L539" s="44">
        <f t="shared" si="183"/>
        <v>2990.2589149999999</v>
      </c>
      <c r="M539" s="47">
        <v>1.07</v>
      </c>
      <c r="N539" s="44">
        <f t="shared" si="167"/>
        <v>2794.6344999999997</v>
      </c>
      <c r="O539" s="70">
        <v>1.075</v>
      </c>
      <c r="P539" s="44">
        <f t="shared" si="182"/>
        <v>2599.66</v>
      </c>
      <c r="Q539" s="70">
        <v>1.085</v>
      </c>
      <c r="R539" s="44">
        <v>2396</v>
      </c>
      <c r="S539" s="44">
        <f>G539*T539</f>
        <v>2395.8000000000002</v>
      </c>
      <c r="T539" s="50">
        <v>1.1000000000000001</v>
      </c>
      <c r="U539" s="44">
        <f>I539*V539</f>
        <v>3839.5756870562486</v>
      </c>
      <c r="V539" s="15">
        <f t="shared" si="186"/>
        <v>3615.419667661251</v>
      </c>
      <c r="W539" s="260">
        <f t="shared" si="187"/>
        <v>3615.419667661251</v>
      </c>
      <c r="X539" s="132">
        <f>4636*106.5%</f>
        <v>4937.34</v>
      </c>
    </row>
    <row r="540" spans="1:24" x14ac:dyDescent="0.25">
      <c r="A540" s="396"/>
      <c r="B540" s="33" t="s">
        <v>429</v>
      </c>
      <c r="C540" s="40">
        <v>3484</v>
      </c>
      <c r="D540" s="47">
        <f>C540*1.0582</f>
        <v>3686.7688000000003</v>
      </c>
      <c r="E540" s="47">
        <f>ROUND(D540,0)</f>
        <v>3687</v>
      </c>
      <c r="F540" s="47">
        <f t="shared" si="166"/>
        <v>4026.2040000000002</v>
      </c>
      <c r="G540" s="44">
        <v>4429</v>
      </c>
      <c r="H540" s="53">
        <f t="shared" si="184"/>
        <v>6870.6116973950411</v>
      </c>
      <c r="I540" s="70">
        <v>1.0620000000000001</v>
      </c>
      <c r="J540" s="44">
        <f t="shared" si="185"/>
        <v>6469.5025399200003</v>
      </c>
      <c r="K540" s="70">
        <v>1.0640000000000001</v>
      </c>
      <c r="L540" s="44">
        <f t="shared" si="183"/>
        <v>6080.3595299999997</v>
      </c>
      <c r="M540" s="47">
        <v>1.07</v>
      </c>
      <c r="N540" s="44">
        <f t="shared" si="167"/>
        <v>5682.5789999999997</v>
      </c>
      <c r="O540" s="70">
        <v>1.075</v>
      </c>
      <c r="P540" s="44">
        <f t="shared" si="182"/>
        <v>5286.12</v>
      </c>
      <c r="Q540" s="70">
        <v>1.085</v>
      </c>
      <c r="R540" s="44">
        <v>4872</v>
      </c>
      <c r="S540" s="44">
        <f>G540*T540</f>
        <v>4871.9000000000005</v>
      </c>
      <c r="T540" s="50">
        <v>1.1000000000000001</v>
      </c>
      <c r="U540" s="44">
        <f>I540*V540</f>
        <v>7807.3508962178821</v>
      </c>
      <c r="V540" s="15">
        <f t="shared" si="186"/>
        <v>7351.5545162126946</v>
      </c>
      <c r="W540" s="260">
        <f t="shared" si="187"/>
        <v>7351.5545162126946</v>
      </c>
      <c r="X540" s="132">
        <f>9427*106.5%</f>
        <v>10039.754999999999</v>
      </c>
    </row>
    <row r="541" spans="1:24" x14ac:dyDescent="0.25">
      <c r="A541" s="396"/>
      <c r="B541" s="33" t="s">
        <v>430</v>
      </c>
      <c r="C541" s="40">
        <v>1740</v>
      </c>
      <c r="D541" s="47">
        <f>C541*1.0582</f>
        <v>1841.268</v>
      </c>
      <c r="E541" s="47">
        <f>ROUND(D541,0)</f>
        <v>1841</v>
      </c>
      <c r="F541" s="47">
        <f t="shared" si="166"/>
        <v>2010.3720000000001</v>
      </c>
      <c r="G541" s="44">
        <v>2211</v>
      </c>
      <c r="H541" s="53">
        <f t="shared" si="184"/>
        <v>3429.6649523942401</v>
      </c>
      <c r="I541" s="70">
        <v>1.0620000000000001</v>
      </c>
      <c r="J541" s="44">
        <f t="shared" si="185"/>
        <v>3229.43969152</v>
      </c>
      <c r="K541" s="70">
        <v>1.0640000000000001</v>
      </c>
      <c r="L541" s="44">
        <f t="shared" si="183"/>
        <v>3035.18768</v>
      </c>
      <c r="M541" s="47">
        <v>1.07</v>
      </c>
      <c r="N541" s="44">
        <f t="shared" si="167"/>
        <v>2836.6239999999998</v>
      </c>
      <c r="O541" s="70">
        <v>1.075</v>
      </c>
      <c r="P541" s="44">
        <f t="shared" si="182"/>
        <v>2638.72</v>
      </c>
      <c r="Q541" s="70">
        <v>1.085</v>
      </c>
      <c r="R541" s="44">
        <v>2432</v>
      </c>
      <c r="S541" s="44">
        <f>G541*T541</f>
        <v>2432.1000000000004</v>
      </c>
      <c r="T541" s="50">
        <v>1.1000000000000001</v>
      </c>
      <c r="U541" s="44">
        <f>I541*V541</f>
        <v>3897.2654720036712</v>
      </c>
      <c r="V541" s="15">
        <f t="shared" si="186"/>
        <v>3669.7414990618372</v>
      </c>
      <c r="W541" s="260">
        <f t="shared" si="187"/>
        <v>3669.7414990618372</v>
      </c>
      <c r="X541" s="132">
        <f>4706*106.5%</f>
        <v>5011.8899999999994</v>
      </c>
    </row>
    <row r="542" spans="1:24" x14ac:dyDescent="0.25">
      <c r="A542" s="396"/>
      <c r="B542" s="33" t="s">
        <v>431</v>
      </c>
      <c r="C542" s="40">
        <v>3264</v>
      </c>
      <c r="D542" s="47">
        <f>C542*1.0582</f>
        <v>3453.9648000000002</v>
      </c>
      <c r="E542" s="47">
        <f>ROUND(D542,0)</f>
        <v>3454</v>
      </c>
      <c r="F542" s="47">
        <f>E542*1.092</f>
        <v>3771.7680000000005</v>
      </c>
      <c r="G542" s="44">
        <v>4149</v>
      </c>
      <c r="H542" s="53">
        <f t="shared" si="184"/>
        <v>6436.2626820424803</v>
      </c>
      <c r="I542" s="70">
        <v>1.0620000000000001</v>
      </c>
      <c r="J542" s="44">
        <f t="shared" si="185"/>
        <v>6060.51100004</v>
      </c>
      <c r="K542" s="70">
        <v>1.0640000000000001</v>
      </c>
      <c r="L542" s="44">
        <f t="shared" si="183"/>
        <v>5695.9689849999995</v>
      </c>
      <c r="M542" s="47">
        <v>1.07</v>
      </c>
      <c r="N542" s="44">
        <f t="shared" si="167"/>
        <v>5323.3354999999992</v>
      </c>
      <c r="O542" s="70">
        <v>1.075</v>
      </c>
      <c r="P542" s="44">
        <f t="shared" si="182"/>
        <v>4951.9399999999996</v>
      </c>
      <c r="Q542" s="70">
        <v>1.085</v>
      </c>
      <c r="R542" s="44">
        <v>4564</v>
      </c>
      <c r="S542" s="44">
        <f>G542*T542</f>
        <v>4563.9000000000005</v>
      </c>
      <c r="T542" s="50">
        <v>1.1000000000000001</v>
      </c>
      <c r="U542" s="44">
        <f>I542*V542</f>
        <v>7313.7827361121526</v>
      </c>
      <c r="V542" s="15">
        <f t="shared" si="186"/>
        <v>6886.8010697854543</v>
      </c>
      <c r="W542" s="260">
        <f t="shared" si="187"/>
        <v>6886.8010697854543</v>
      </c>
      <c r="X542" s="132">
        <f>8832*106.5%</f>
        <v>9406.08</v>
      </c>
    </row>
    <row r="543" spans="1:24" x14ac:dyDescent="0.25">
      <c r="A543" s="397"/>
      <c r="B543" s="128" t="s">
        <v>19</v>
      </c>
      <c r="C543" s="284"/>
      <c r="D543" s="284"/>
      <c r="E543" s="284"/>
      <c r="F543" s="284"/>
      <c r="G543" s="44">
        <v>2500</v>
      </c>
      <c r="H543" s="53">
        <f t="shared" si="184"/>
        <v>4935.7842653700009</v>
      </c>
      <c r="I543" s="70">
        <v>1.0620000000000001</v>
      </c>
      <c r="J543" s="44">
        <f t="shared" si="185"/>
        <v>4647.6311350000005</v>
      </c>
      <c r="K543" s="70">
        <v>1.0640000000000001</v>
      </c>
      <c r="L543" s="44">
        <f t="shared" si="183"/>
        <v>4368.0743750000001</v>
      </c>
      <c r="M543" s="47">
        <v>1.07</v>
      </c>
      <c r="N543" s="44">
        <f t="shared" si="167"/>
        <v>4082.3125</v>
      </c>
      <c r="O543" s="70">
        <v>1.075</v>
      </c>
      <c r="P543" s="44">
        <f t="shared" si="182"/>
        <v>3797.5</v>
      </c>
      <c r="Q543" s="70">
        <v>1.085</v>
      </c>
      <c r="R543" s="44">
        <v>3500</v>
      </c>
      <c r="S543" s="44">
        <v>3500</v>
      </c>
      <c r="T543" s="50"/>
      <c r="U543" s="44">
        <v>3501</v>
      </c>
      <c r="V543" s="15">
        <f t="shared" si="186"/>
        <v>5281.2891639459012</v>
      </c>
      <c r="W543" s="260">
        <f t="shared" si="187"/>
        <v>5281.2891639459012</v>
      </c>
      <c r="X543" s="132">
        <f>6771*106.5%</f>
        <v>7211.1149999999998</v>
      </c>
    </row>
    <row r="544" spans="1:24" ht="60" x14ac:dyDescent="0.2">
      <c r="A544" s="128" t="s">
        <v>355</v>
      </c>
      <c r="B544" s="104" t="s">
        <v>951</v>
      </c>
      <c r="C544" s="40"/>
      <c r="D544" s="284"/>
      <c r="E544" s="47"/>
      <c r="F544" s="47">
        <v>1842</v>
      </c>
      <c r="G544" s="44">
        <v>2026</v>
      </c>
      <c r="H544" s="198">
        <f t="shared" si="184"/>
        <v>3143.3894650027805</v>
      </c>
      <c r="I544" s="70">
        <v>1.0620000000000001</v>
      </c>
      <c r="J544" s="44">
        <f t="shared" si="185"/>
        <v>2959.8770856900005</v>
      </c>
      <c r="K544" s="70">
        <v>1.0640000000000001</v>
      </c>
      <c r="L544" s="44">
        <f t="shared" si="183"/>
        <v>2781.8393662500002</v>
      </c>
      <c r="M544" s="47">
        <v>1.07</v>
      </c>
      <c r="N544" s="44">
        <f t="shared" si="167"/>
        <v>2599.8498749999999</v>
      </c>
      <c r="O544" s="70">
        <v>1.075</v>
      </c>
      <c r="P544" s="44">
        <f t="shared" si="182"/>
        <v>2418.4650000000001</v>
      </c>
      <c r="Q544" s="70">
        <v>1.085</v>
      </c>
      <c r="R544" s="44">
        <v>2229</v>
      </c>
      <c r="S544" s="44">
        <f>G544*T544</f>
        <v>2228.6000000000004</v>
      </c>
      <c r="T544" s="50">
        <v>1.1000000000000001</v>
      </c>
      <c r="U544" s="44">
        <f>I544*V544</f>
        <v>3571.9591846612602</v>
      </c>
      <c r="V544" s="203">
        <f t="shared" si="186"/>
        <v>3363.4267275529755</v>
      </c>
      <c r="W544" s="266">
        <f t="shared" si="187"/>
        <v>3363.4267275529755</v>
      </c>
      <c r="X544" s="132">
        <f>4313*106.5%</f>
        <v>4593.3449999999993</v>
      </c>
    </row>
    <row r="545" spans="1:24" x14ac:dyDescent="0.25">
      <c r="A545" s="401" t="s">
        <v>356</v>
      </c>
      <c r="B545" s="403" t="s">
        <v>765</v>
      </c>
      <c r="C545" s="404"/>
      <c r="D545" s="404"/>
      <c r="E545" s="404"/>
      <c r="F545" s="404"/>
      <c r="G545" s="404"/>
      <c r="H545" s="404"/>
      <c r="I545" s="404"/>
      <c r="J545" s="405"/>
      <c r="K545" s="47"/>
      <c r="L545" s="44"/>
      <c r="M545" s="47"/>
      <c r="N545" s="44"/>
      <c r="O545" s="70"/>
      <c r="P545" s="44"/>
      <c r="Q545" s="70"/>
      <c r="R545" s="44"/>
      <c r="S545" s="44"/>
      <c r="T545" s="50"/>
      <c r="U545" s="44"/>
      <c r="V545" s="15"/>
      <c r="X545" s="132"/>
    </row>
    <row r="546" spans="1:24" x14ac:dyDescent="0.25">
      <c r="A546" s="402"/>
      <c r="B546" s="147" t="s">
        <v>517</v>
      </c>
      <c r="C546" s="148">
        <v>954</v>
      </c>
      <c r="D546" s="149">
        <f>C546*1.0582</f>
        <v>1009.5228000000001</v>
      </c>
      <c r="E546" s="149">
        <f>ROUND(D546,0)</f>
        <v>1010</v>
      </c>
      <c r="F546" s="149">
        <f>E546*1.092</f>
        <v>1102.92</v>
      </c>
      <c r="G546" s="150">
        <v>1213</v>
      </c>
      <c r="H546" s="53">
        <f>J546*I546</f>
        <v>1881.2389171438801</v>
      </c>
      <c r="I546" s="70">
        <v>1.0620000000000001</v>
      </c>
      <c r="J546" s="150">
        <f>K546*L546</f>
        <v>1771.41140974</v>
      </c>
      <c r="K546" s="70">
        <v>1.0640000000000001</v>
      </c>
      <c r="L546" s="44">
        <f t="shared" si="183"/>
        <v>1664.8603474999998</v>
      </c>
      <c r="M546" s="47">
        <v>1.07</v>
      </c>
      <c r="N546" s="44">
        <f t="shared" si="167"/>
        <v>1555.9442499999998</v>
      </c>
      <c r="O546" s="70">
        <v>1.075</v>
      </c>
      <c r="P546" s="44">
        <f t="shared" si="182"/>
        <v>1447.3899999999999</v>
      </c>
      <c r="Q546" s="70">
        <v>1.085</v>
      </c>
      <c r="R546" s="44">
        <v>1334</v>
      </c>
      <c r="S546" s="44">
        <f>G546*T546</f>
        <v>1334.3000000000002</v>
      </c>
      <c r="T546" s="50">
        <v>1.1000000000000001</v>
      </c>
      <c r="U546" s="44">
        <f>I546*V546</f>
        <v>2137.7270311072771</v>
      </c>
      <c r="V546" s="15">
        <f>H546*107%</f>
        <v>2012.9256413439518</v>
      </c>
      <c r="W546" s="260">
        <f>V546</f>
        <v>2012.9256413439518</v>
      </c>
      <c r="X546" s="132">
        <f>2582*106.5%</f>
        <v>2749.83</v>
      </c>
    </row>
    <row r="547" spans="1:24" x14ac:dyDescent="0.25">
      <c r="A547" s="402"/>
      <c r="B547" s="147" t="s">
        <v>546</v>
      </c>
      <c r="C547" s="148"/>
      <c r="D547" s="149"/>
      <c r="E547" s="149"/>
      <c r="F547" s="149"/>
      <c r="G547" s="150"/>
      <c r="H547" s="53">
        <f>J547*I547</f>
        <v>847.476</v>
      </c>
      <c r="I547" s="70">
        <v>1.0620000000000001</v>
      </c>
      <c r="J547" s="150">
        <f>L547*K547</f>
        <v>798</v>
      </c>
      <c r="K547" s="70">
        <v>1.0640000000000001</v>
      </c>
      <c r="L547" s="44">
        <v>750</v>
      </c>
      <c r="M547" s="47"/>
      <c r="N547" s="44"/>
      <c r="O547" s="70"/>
      <c r="P547" s="44"/>
      <c r="Q547" s="70"/>
      <c r="R547" s="44"/>
      <c r="S547" s="44"/>
      <c r="T547" s="50"/>
      <c r="U547" s="44"/>
      <c r="V547" s="15">
        <f>H547*107%</f>
        <v>906.79932000000008</v>
      </c>
      <c r="W547" s="260">
        <f>V547</f>
        <v>906.79932000000008</v>
      </c>
      <c r="X547" s="132">
        <f>1163*106.5%</f>
        <v>1238.595</v>
      </c>
    </row>
    <row r="548" spans="1:24" x14ac:dyDescent="0.25">
      <c r="A548" s="402"/>
      <c r="B548" s="147" t="s">
        <v>674</v>
      </c>
      <c r="C548" s="148"/>
      <c r="D548" s="149"/>
      <c r="E548" s="149"/>
      <c r="F548" s="149"/>
      <c r="G548" s="150"/>
      <c r="H548" s="53">
        <f>J548*I548</f>
        <v>3143.5709760000004</v>
      </c>
      <c r="I548" s="70">
        <v>1.0620000000000001</v>
      </c>
      <c r="J548" s="150">
        <f>L548*K548</f>
        <v>2960.0480000000002</v>
      </c>
      <c r="K548" s="70">
        <v>1.0640000000000001</v>
      </c>
      <c r="L548" s="44">
        <v>2782</v>
      </c>
      <c r="M548" s="47"/>
      <c r="N548" s="44"/>
      <c r="O548" s="70"/>
      <c r="P548" s="44"/>
      <c r="Q548" s="70"/>
      <c r="R548" s="44"/>
      <c r="S548" s="44"/>
      <c r="T548" s="50"/>
      <c r="U548" s="44"/>
      <c r="V548" s="15">
        <f>H548*107%</f>
        <v>3363.6209443200005</v>
      </c>
      <c r="W548" s="260">
        <f>V548</f>
        <v>3363.6209443200005</v>
      </c>
      <c r="X548" s="132">
        <f>4314*106.5%</f>
        <v>4594.41</v>
      </c>
    </row>
    <row r="549" spans="1:24" x14ac:dyDescent="0.25">
      <c r="A549" s="406" t="s">
        <v>513</v>
      </c>
      <c r="B549" s="403" t="s">
        <v>766</v>
      </c>
      <c r="C549" s="408"/>
      <c r="D549" s="408"/>
      <c r="E549" s="408"/>
      <c r="F549" s="408"/>
      <c r="G549" s="408"/>
      <c r="H549" s="408"/>
      <c r="I549" s="408"/>
      <c r="J549" s="409"/>
      <c r="K549" s="70"/>
      <c r="L549" s="44"/>
      <c r="M549" s="47"/>
      <c r="N549" s="44"/>
      <c r="O549" s="70"/>
      <c r="P549" s="44"/>
      <c r="Q549" s="70"/>
      <c r="R549" s="44"/>
      <c r="S549" s="44"/>
      <c r="T549" s="50"/>
      <c r="U549" s="44"/>
      <c r="V549" s="15"/>
      <c r="X549" s="132"/>
    </row>
    <row r="550" spans="1:24" x14ac:dyDescent="0.25">
      <c r="A550" s="407"/>
      <c r="B550" s="147" t="s">
        <v>674</v>
      </c>
      <c r="C550" s="148"/>
      <c r="D550" s="149"/>
      <c r="E550" s="149"/>
      <c r="F550" s="149"/>
      <c r="G550" s="150"/>
      <c r="H550" s="53">
        <f>J550*I550</f>
        <v>3143.52</v>
      </c>
      <c r="I550" s="70">
        <v>1.0620000000000001</v>
      </c>
      <c r="J550" s="150">
        <v>2960</v>
      </c>
      <c r="K550" s="70"/>
      <c r="L550" s="44"/>
      <c r="M550" s="47"/>
      <c r="N550" s="44"/>
      <c r="O550" s="70"/>
      <c r="P550" s="44"/>
      <c r="Q550" s="70"/>
      <c r="R550" s="44"/>
      <c r="S550" s="44"/>
      <c r="T550" s="50"/>
      <c r="U550" s="44"/>
      <c r="V550" s="15">
        <f>H550*107%</f>
        <v>3363.5664000000002</v>
      </c>
      <c r="W550" s="260">
        <f>V550</f>
        <v>3363.5664000000002</v>
      </c>
      <c r="X550" s="132">
        <f>4314*106.5%</f>
        <v>4594.41</v>
      </c>
    </row>
    <row r="551" spans="1:24" x14ac:dyDescent="0.25">
      <c r="A551" s="285" t="s">
        <v>518</v>
      </c>
      <c r="B551" s="403" t="s">
        <v>983</v>
      </c>
      <c r="C551" s="408"/>
      <c r="D551" s="408"/>
      <c r="E551" s="408"/>
      <c r="F551" s="408"/>
      <c r="G551" s="408"/>
      <c r="H551" s="408"/>
      <c r="I551" s="408"/>
      <c r="J551" s="409"/>
      <c r="K551" s="47"/>
      <c r="L551" s="44"/>
      <c r="M551" s="47"/>
      <c r="N551" s="44"/>
      <c r="O551" s="70"/>
      <c r="P551" s="44"/>
      <c r="Q551" s="70"/>
      <c r="R551" s="44"/>
      <c r="S551" s="44"/>
      <c r="T551" s="50"/>
      <c r="U551" s="44"/>
      <c r="V551" s="15"/>
      <c r="X551" s="132" t="s">
        <v>984</v>
      </c>
    </row>
    <row r="552" spans="1:24" x14ac:dyDescent="0.25">
      <c r="A552" s="362" t="s">
        <v>357</v>
      </c>
      <c r="B552" s="345" t="s">
        <v>20</v>
      </c>
      <c r="C552" s="346"/>
      <c r="D552" s="346"/>
      <c r="E552" s="346"/>
      <c r="F552" s="346"/>
      <c r="G552" s="346"/>
      <c r="H552" s="346"/>
      <c r="I552" s="346"/>
      <c r="J552" s="347"/>
      <c r="K552" s="47"/>
      <c r="L552" s="44"/>
      <c r="M552" s="47"/>
      <c r="N552" s="44"/>
      <c r="O552" s="70"/>
      <c r="P552" s="44"/>
      <c r="Q552" s="70"/>
      <c r="R552" s="44"/>
      <c r="S552" s="44"/>
      <c r="T552" s="50"/>
      <c r="U552" s="44"/>
      <c r="V552" s="15"/>
      <c r="X552" s="132"/>
    </row>
    <row r="553" spans="1:24" x14ac:dyDescent="0.25">
      <c r="A553" s="362"/>
      <c r="B553" s="33" t="s">
        <v>889</v>
      </c>
      <c r="C553" s="40"/>
      <c r="D553" s="40"/>
      <c r="E553" s="40"/>
      <c r="F553" s="46">
        <v>200</v>
      </c>
      <c r="G553" s="44">
        <v>220</v>
      </c>
      <c r="H553" s="53">
        <f t="shared" ref="H553:H558" si="188">J553*I553</f>
        <v>714.86013060000016</v>
      </c>
      <c r="I553" s="70">
        <v>1.0620000000000001</v>
      </c>
      <c r="J553" s="44">
        <f>K553*L553</f>
        <v>673.12630000000013</v>
      </c>
      <c r="K553" s="70">
        <v>1.0640000000000001</v>
      </c>
      <c r="L553" s="44">
        <f>M553*N553</f>
        <v>632.63750000000005</v>
      </c>
      <c r="M553" s="47">
        <v>1.07</v>
      </c>
      <c r="N553" s="44">
        <f t="shared" ref="N553:N623" si="189">O553*P553</f>
        <v>591.25</v>
      </c>
      <c r="O553" s="70">
        <v>1.075</v>
      </c>
      <c r="P553" s="79">
        <v>550</v>
      </c>
      <c r="Q553" s="70">
        <v>1.085</v>
      </c>
      <c r="R553" s="44">
        <v>242</v>
      </c>
      <c r="S553" s="44">
        <f t="shared" ref="S553:U558" si="190">G553*T553</f>
        <v>242.00000000000003</v>
      </c>
      <c r="T553" s="50">
        <v>1.1000000000000001</v>
      </c>
      <c r="U553" s="44">
        <f t="shared" si="190"/>
        <v>812.32416080600433</v>
      </c>
      <c r="V553" s="15">
        <f t="shared" ref="V553:V559" si="191">H553*107%</f>
        <v>764.90033974200026</v>
      </c>
      <c r="W553" s="260">
        <f t="shared" ref="W553:W559" si="192">V553</f>
        <v>764.90033974200026</v>
      </c>
      <c r="X553" s="132">
        <f>981*106.5%</f>
        <v>1044.7649999999999</v>
      </c>
    </row>
    <row r="554" spans="1:24" ht="14.1" customHeight="1" x14ac:dyDescent="0.25">
      <c r="A554" s="363"/>
      <c r="B554" s="33" t="s">
        <v>21</v>
      </c>
      <c r="C554" s="40"/>
      <c r="D554" s="40"/>
      <c r="E554" s="40"/>
      <c r="F554" s="46">
        <v>1087</v>
      </c>
      <c r="G554" s="44">
        <v>1196</v>
      </c>
      <c r="H554" s="53">
        <f t="shared" si="188"/>
        <v>1855.85488377912</v>
      </c>
      <c r="I554" s="70">
        <v>1.0620000000000001</v>
      </c>
      <c r="J554" s="44">
        <f t="shared" ref="J554:J559" si="193">K554*L554</f>
        <v>1747.5093067599998</v>
      </c>
      <c r="K554" s="70">
        <v>1.0640000000000001</v>
      </c>
      <c r="L554" s="44">
        <f t="shared" ref="L554:L559" si="194">M554*N554</f>
        <v>1642.3959649999997</v>
      </c>
      <c r="M554" s="47">
        <v>1.07</v>
      </c>
      <c r="N554" s="44">
        <f t="shared" si="189"/>
        <v>1534.9494999999997</v>
      </c>
      <c r="O554" s="70">
        <v>1.075</v>
      </c>
      <c r="P554" s="44">
        <f t="shared" si="182"/>
        <v>1427.86</v>
      </c>
      <c r="Q554" s="70">
        <v>1.085</v>
      </c>
      <c r="R554" s="44">
        <v>1316</v>
      </c>
      <c r="S554" s="44">
        <f t="shared" si="190"/>
        <v>1315.6000000000001</v>
      </c>
      <c r="T554" s="50">
        <v>1.1000000000000001</v>
      </c>
      <c r="U554" s="44">
        <f t="shared" si="190"/>
        <v>2108.8821386335653</v>
      </c>
      <c r="V554" s="15">
        <f t="shared" si="191"/>
        <v>1985.7647256436585</v>
      </c>
      <c r="W554" s="260">
        <f t="shared" si="192"/>
        <v>1985.7647256436585</v>
      </c>
      <c r="X554" s="132">
        <f>2546*106.5%</f>
        <v>2711.49</v>
      </c>
    </row>
    <row r="555" spans="1:24" ht="14.1" customHeight="1" x14ac:dyDescent="0.25">
      <c r="A555" s="363"/>
      <c r="B555" s="33" t="s">
        <v>22</v>
      </c>
      <c r="C555" s="40"/>
      <c r="D555" s="40"/>
      <c r="E555" s="40"/>
      <c r="F555" s="46">
        <v>740</v>
      </c>
      <c r="G555" s="44">
        <v>814</v>
      </c>
      <c r="H555" s="53">
        <f t="shared" si="188"/>
        <v>1262.1505478589002</v>
      </c>
      <c r="I555" s="70">
        <v>1.0620000000000001</v>
      </c>
      <c r="J555" s="44">
        <f t="shared" si="193"/>
        <v>1188.4656759500001</v>
      </c>
      <c r="K555" s="70">
        <v>1.0640000000000001</v>
      </c>
      <c r="L555" s="44">
        <f t="shared" si="194"/>
        <v>1116.97901875</v>
      </c>
      <c r="M555" s="47">
        <v>1.07</v>
      </c>
      <c r="N555" s="44">
        <f t="shared" si="189"/>
        <v>1043.9056249999999</v>
      </c>
      <c r="O555" s="70">
        <v>1.075</v>
      </c>
      <c r="P555" s="44">
        <f t="shared" si="182"/>
        <v>971.07499999999993</v>
      </c>
      <c r="Q555" s="70">
        <v>1.085</v>
      </c>
      <c r="R555" s="44">
        <v>895</v>
      </c>
      <c r="S555" s="44">
        <f t="shared" si="190"/>
        <v>895.40000000000009</v>
      </c>
      <c r="T555" s="50">
        <v>1.1000000000000001</v>
      </c>
      <c r="U555" s="44">
        <f t="shared" si="190"/>
        <v>1434.2321535539827</v>
      </c>
      <c r="V555" s="15">
        <f t="shared" si="191"/>
        <v>1350.5010862090232</v>
      </c>
      <c r="W555" s="260">
        <f t="shared" si="192"/>
        <v>1350.5010862090232</v>
      </c>
      <c r="X555" s="132">
        <f>1732*106.5%</f>
        <v>1844.58</v>
      </c>
    </row>
    <row r="556" spans="1:24" ht="15" customHeight="1" x14ac:dyDescent="0.25">
      <c r="A556" s="128" t="s">
        <v>358</v>
      </c>
      <c r="B556" s="36" t="s">
        <v>233</v>
      </c>
      <c r="C556" s="40">
        <v>885</v>
      </c>
      <c r="D556" s="47">
        <f>C556*1.0582</f>
        <v>936.50700000000006</v>
      </c>
      <c r="E556" s="47">
        <f>ROUND(D556,0)</f>
        <v>937</v>
      </c>
      <c r="F556" s="47">
        <f>E556*1.092</f>
        <v>1023.2040000000001</v>
      </c>
      <c r="G556" s="44">
        <v>1125</v>
      </c>
      <c r="H556" s="53">
        <f t="shared" si="188"/>
        <v>1745.8574058651604</v>
      </c>
      <c r="I556" s="70">
        <v>1.0620000000000001</v>
      </c>
      <c r="J556" s="44">
        <f t="shared" si="193"/>
        <v>1643.9335271800003</v>
      </c>
      <c r="K556" s="70">
        <v>1.0640000000000001</v>
      </c>
      <c r="L556" s="44">
        <f t="shared" si="194"/>
        <v>1545.0503075000001</v>
      </c>
      <c r="M556" s="47">
        <v>1.07</v>
      </c>
      <c r="N556" s="44">
        <f t="shared" si="189"/>
        <v>1443.97225</v>
      </c>
      <c r="O556" s="70">
        <v>1.075</v>
      </c>
      <c r="P556" s="44">
        <f t="shared" si="182"/>
        <v>1343.23</v>
      </c>
      <c r="Q556" s="70">
        <v>1.085</v>
      </c>
      <c r="R556" s="44">
        <v>1238</v>
      </c>
      <c r="S556" s="44">
        <f t="shared" si="190"/>
        <v>1237.5</v>
      </c>
      <c r="T556" s="50">
        <v>1.1000000000000001</v>
      </c>
      <c r="U556" s="44">
        <f t="shared" si="190"/>
        <v>1983.8876045808167</v>
      </c>
      <c r="V556" s="15">
        <f t="shared" si="191"/>
        <v>1868.0674242757218</v>
      </c>
      <c r="W556" s="260">
        <f t="shared" si="192"/>
        <v>1868.0674242757218</v>
      </c>
      <c r="X556" s="132">
        <f>2396*106.5%</f>
        <v>2551.7399999999998</v>
      </c>
    </row>
    <row r="557" spans="1:24" ht="15" customHeight="1" x14ac:dyDescent="0.25">
      <c r="A557" s="128" t="s">
        <v>725</v>
      </c>
      <c r="B557" s="33" t="s">
        <v>352</v>
      </c>
      <c r="C557" s="40">
        <v>885</v>
      </c>
      <c r="D557" s="47">
        <f>C557*1.0582</f>
        <v>936.50700000000006</v>
      </c>
      <c r="E557" s="47">
        <f>ROUND(D557,0)</f>
        <v>937</v>
      </c>
      <c r="F557" s="47">
        <f>E557*1.092</f>
        <v>1023.2040000000001</v>
      </c>
      <c r="G557" s="44">
        <v>1125</v>
      </c>
      <c r="H557" s="53">
        <f t="shared" si="188"/>
        <v>1745.1522938272501</v>
      </c>
      <c r="I557" s="70">
        <v>1.0620000000000001</v>
      </c>
      <c r="J557" s="44">
        <f t="shared" si="193"/>
        <v>1643.2695798750001</v>
      </c>
      <c r="K557" s="70">
        <v>1.0640000000000001</v>
      </c>
      <c r="L557" s="44">
        <f t="shared" si="194"/>
        <v>1544.4262968749999</v>
      </c>
      <c r="M557" s="47">
        <v>1.07</v>
      </c>
      <c r="N557" s="44">
        <f t="shared" si="189"/>
        <v>1443.3890624999999</v>
      </c>
      <c r="O557" s="70">
        <v>1.075</v>
      </c>
      <c r="P557" s="44">
        <f t="shared" si="182"/>
        <v>1342.6875</v>
      </c>
      <c r="Q557" s="70">
        <v>1.085</v>
      </c>
      <c r="R557" s="44">
        <f>S557</f>
        <v>1237.5</v>
      </c>
      <c r="S557" s="44">
        <f t="shared" si="190"/>
        <v>1237.5</v>
      </c>
      <c r="T557" s="50">
        <v>1.1000000000000001</v>
      </c>
      <c r="U557" s="44">
        <f t="shared" si="190"/>
        <v>1983.0863575676576</v>
      </c>
      <c r="V557" s="15">
        <f t="shared" si="191"/>
        <v>1867.3129543951577</v>
      </c>
      <c r="W557" s="260">
        <f t="shared" si="192"/>
        <v>1867.3129543951577</v>
      </c>
      <c r="X557" s="132">
        <f>2395*106.5%</f>
        <v>2550.6749999999997</v>
      </c>
    </row>
    <row r="558" spans="1:24" ht="44.1" customHeight="1" x14ac:dyDescent="0.2">
      <c r="A558" s="128" t="s">
        <v>726</v>
      </c>
      <c r="B558" s="147" t="s">
        <v>817</v>
      </c>
      <c r="C558" s="148"/>
      <c r="D558" s="149"/>
      <c r="E558" s="149"/>
      <c r="F558" s="149">
        <v>1532</v>
      </c>
      <c r="G558" s="150">
        <v>1685</v>
      </c>
      <c r="H558" s="204">
        <f t="shared" si="188"/>
        <v>3922.6324984560006</v>
      </c>
      <c r="I558" s="70">
        <v>1.0620000000000001</v>
      </c>
      <c r="J558" s="44">
        <f t="shared" si="193"/>
        <v>3693.6275880000003</v>
      </c>
      <c r="K558" s="70">
        <v>1.0640000000000001</v>
      </c>
      <c r="L558" s="44">
        <f t="shared" si="194"/>
        <v>3471.4545000000003</v>
      </c>
      <c r="M558" s="47">
        <v>1.07</v>
      </c>
      <c r="N558" s="44">
        <f t="shared" si="189"/>
        <v>3244.35</v>
      </c>
      <c r="O558" s="70">
        <v>1.075</v>
      </c>
      <c r="P558" s="79">
        <v>3018</v>
      </c>
      <c r="Q558" s="70">
        <v>1.085</v>
      </c>
      <c r="R558" s="44">
        <v>1854</v>
      </c>
      <c r="S558" s="44">
        <f t="shared" si="190"/>
        <v>1853.5000000000002</v>
      </c>
      <c r="T558" s="50">
        <v>1.1000000000000001</v>
      </c>
      <c r="U558" s="44">
        <f t="shared" si="190"/>
        <v>4457.4442132954919</v>
      </c>
      <c r="V558" s="203">
        <f t="shared" si="191"/>
        <v>4197.2167733479209</v>
      </c>
      <c r="W558" s="266">
        <f t="shared" si="192"/>
        <v>4197.2167733479209</v>
      </c>
      <c r="X558" s="206">
        <f>5382*106.5%</f>
        <v>5731.83</v>
      </c>
    </row>
    <row r="559" spans="1:24" s="18" customFormat="1" ht="27.95" customHeight="1" x14ac:dyDescent="0.2">
      <c r="A559" s="128" t="s">
        <v>359</v>
      </c>
      <c r="B559" s="147" t="s">
        <v>831</v>
      </c>
      <c r="C559" s="148">
        <v>1612</v>
      </c>
      <c r="D559" s="149">
        <f>C559*1.0582</f>
        <v>1705.8184000000001</v>
      </c>
      <c r="E559" s="149">
        <f>ROUND(D559,0)</f>
        <v>1706</v>
      </c>
      <c r="F559" s="149">
        <f>E559*1.092</f>
        <v>1862.9520000000002</v>
      </c>
      <c r="G559" s="150">
        <v>2050</v>
      </c>
      <c r="H559" s="204">
        <v>2615</v>
      </c>
      <c r="I559" s="70">
        <v>1.0620000000000001</v>
      </c>
      <c r="J559" s="44">
        <f t="shared" si="193"/>
        <v>796.73676599999999</v>
      </c>
      <c r="K559" s="70">
        <v>1.0640000000000001</v>
      </c>
      <c r="L559" s="44">
        <f t="shared" si="194"/>
        <v>748.81274999999994</v>
      </c>
      <c r="M559" s="47">
        <v>1.07</v>
      </c>
      <c r="N559" s="44">
        <f t="shared" si="189"/>
        <v>699.82499999999993</v>
      </c>
      <c r="O559" s="70">
        <v>1.075</v>
      </c>
      <c r="P559" s="44">
        <f t="shared" si="182"/>
        <v>651</v>
      </c>
      <c r="Q559" s="70">
        <v>1.085</v>
      </c>
      <c r="R559" s="44">
        <v>600</v>
      </c>
      <c r="S559" s="44">
        <v>600</v>
      </c>
      <c r="T559" s="103" t="s">
        <v>231</v>
      </c>
      <c r="U559" s="44">
        <v>600</v>
      </c>
      <c r="V559" s="203">
        <f t="shared" si="191"/>
        <v>2798.05</v>
      </c>
      <c r="W559" s="266">
        <f t="shared" si="192"/>
        <v>2798.05</v>
      </c>
      <c r="X559" s="132">
        <f>3451*106.5%</f>
        <v>3675.3149999999996</v>
      </c>
    </row>
    <row r="560" spans="1:24" ht="28.5" customHeight="1" x14ac:dyDescent="0.2">
      <c r="A560" s="362" t="s">
        <v>360</v>
      </c>
      <c r="B560" s="345" t="s">
        <v>988</v>
      </c>
      <c r="C560" s="346"/>
      <c r="D560" s="346"/>
      <c r="E560" s="346"/>
      <c r="F560" s="346"/>
      <c r="G560" s="346"/>
      <c r="H560" s="346"/>
      <c r="I560" s="346"/>
      <c r="J560" s="347"/>
      <c r="K560" s="47"/>
      <c r="L560" s="44"/>
      <c r="M560" s="47"/>
      <c r="N560" s="44"/>
      <c r="O560" s="70">
        <v>1.075</v>
      </c>
      <c r="P560" s="44"/>
      <c r="Q560" s="70"/>
      <c r="R560" s="44"/>
      <c r="S560" s="44"/>
      <c r="T560" s="50"/>
      <c r="U560" s="44"/>
      <c r="V560" s="24"/>
      <c r="W560" s="264"/>
      <c r="X560" s="132"/>
    </row>
    <row r="561" spans="1:24" ht="14.1" customHeight="1" x14ac:dyDescent="0.2">
      <c r="A561" s="363"/>
      <c r="B561" s="33" t="s">
        <v>23</v>
      </c>
      <c r="C561" s="40" t="s">
        <v>623</v>
      </c>
      <c r="D561" s="40" t="s">
        <v>623</v>
      </c>
      <c r="E561" s="40" t="s">
        <v>623</v>
      </c>
      <c r="F561" s="40" t="s">
        <v>623</v>
      </c>
      <c r="G561" s="102" t="s">
        <v>623</v>
      </c>
      <c r="H561" s="102" t="s">
        <v>623</v>
      </c>
      <c r="I561" s="102"/>
      <c r="J561" s="102" t="s">
        <v>623</v>
      </c>
      <c r="K561" s="47"/>
      <c r="L561" s="102" t="s">
        <v>623</v>
      </c>
      <c r="M561" s="47"/>
      <c r="N561" s="44"/>
      <c r="O561" s="70">
        <v>1.075</v>
      </c>
      <c r="P561" s="102" t="s">
        <v>623</v>
      </c>
      <c r="Q561" s="70">
        <v>1.085</v>
      </c>
      <c r="R561" s="44" t="str">
        <f>S561</f>
        <v>договорная</v>
      </c>
      <c r="S561" s="102" t="s">
        <v>623</v>
      </c>
      <c r="T561" s="50">
        <v>1.1000000000000001</v>
      </c>
      <c r="U561" s="102" t="s">
        <v>623</v>
      </c>
      <c r="V561" s="24"/>
      <c r="W561" s="85" t="s">
        <v>835</v>
      </c>
      <c r="X561" s="132" t="s">
        <v>985</v>
      </c>
    </row>
    <row r="562" spans="1:24" ht="14.1" customHeight="1" x14ac:dyDescent="0.2">
      <c r="A562" s="363"/>
      <c r="B562" s="33" t="s">
        <v>24</v>
      </c>
      <c r="C562" s="40" t="s">
        <v>623</v>
      </c>
      <c r="D562" s="40" t="s">
        <v>623</v>
      </c>
      <c r="E562" s="40" t="s">
        <v>623</v>
      </c>
      <c r="F562" s="40" t="s">
        <v>623</v>
      </c>
      <c r="G562" s="102" t="s">
        <v>623</v>
      </c>
      <c r="H562" s="102" t="s">
        <v>623</v>
      </c>
      <c r="I562" s="102"/>
      <c r="J562" s="102" t="s">
        <v>623</v>
      </c>
      <c r="K562" s="47"/>
      <c r="L562" s="102" t="s">
        <v>623</v>
      </c>
      <c r="M562" s="47"/>
      <c r="N562" s="44"/>
      <c r="O562" s="70">
        <v>1.075</v>
      </c>
      <c r="P562" s="102" t="s">
        <v>623</v>
      </c>
      <c r="Q562" s="70">
        <v>1.085</v>
      </c>
      <c r="R562" s="44" t="str">
        <f>S562</f>
        <v>договорная</v>
      </c>
      <c r="S562" s="102" t="s">
        <v>623</v>
      </c>
      <c r="T562" s="50">
        <v>1.1000000000000001</v>
      </c>
      <c r="U562" s="102" t="s">
        <v>623</v>
      </c>
      <c r="V562" s="24"/>
      <c r="W562" s="85" t="s">
        <v>835</v>
      </c>
      <c r="X562" s="132" t="s">
        <v>986</v>
      </c>
    </row>
    <row r="563" spans="1:24" ht="14.1" customHeight="1" x14ac:dyDescent="0.2">
      <c r="A563" s="363"/>
      <c r="B563" s="33" t="s">
        <v>25</v>
      </c>
      <c r="C563" s="40" t="s">
        <v>623</v>
      </c>
      <c r="D563" s="40" t="s">
        <v>623</v>
      </c>
      <c r="E563" s="40" t="s">
        <v>623</v>
      </c>
      <c r="F563" s="40" t="s">
        <v>623</v>
      </c>
      <c r="G563" s="102" t="s">
        <v>623</v>
      </c>
      <c r="H563" s="102" t="s">
        <v>623</v>
      </c>
      <c r="I563" s="102"/>
      <c r="J563" s="102" t="s">
        <v>623</v>
      </c>
      <c r="K563" s="47"/>
      <c r="L563" s="102" t="s">
        <v>623</v>
      </c>
      <c r="M563" s="47"/>
      <c r="N563" s="44"/>
      <c r="O563" s="70">
        <v>1.075</v>
      </c>
      <c r="P563" s="102" t="s">
        <v>623</v>
      </c>
      <c r="Q563" s="70">
        <v>1.085</v>
      </c>
      <c r="R563" s="44" t="str">
        <f>S563</f>
        <v>договорная</v>
      </c>
      <c r="S563" s="102" t="s">
        <v>623</v>
      </c>
      <c r="T563" s="50">
        <v>1.1000000000000001</v>
      </c>
      <c r="U563" s="102" t="s">
        <v>623</v>
      </c>
      <c r="V563" s="24"/>
      <c r="W563" s="85" t="s">
        <v>835</v>
      </c>
      <c r="X563" s="132" t="s">
        <v>984</v>
      </c>
    </row>
    <row r="564" spans="1:24" ht="14.1" customHeight="1" x14ac:dyDescent="0.2">
      <c r="A564" s="363"/>
      <c r="B564" s="33" t="s">
        <v>26</v>
      </c>
      <c r="C564" s="40"/>
      <c r="D564" s="40"/>
      <c r="E564" s="40"/>
      <c r="F564" s="40" t="s">
        <v>623</v>
      </c>
      <c r="G564" s="102" t="s">
        <v>623</v>
      </c>
      <c r="H564" s="102" t="s">
        <v>623</v>
      </c>
      <c r="I564" s="102"/>
      <c r="J564" s="102" t="s">
        <v>623</v>
      </c>
      <c r="K564" s="47"/>
      <c r="L564" s="102" t="s">
        <v>623</v>
      </c>
      <c r="M564" s="47"/>
      <c r="N564" s="44"/>
      <c r="O564" s="70">
        <v>1.075</v>
      </c>
      <c r="P564" s="102" t="s">
        <v>623</v>
      </c>
      <c r="Q564" s="70">
        <v>1.085</v>
      </c>
      <c r="R564" s="44" t="str">
        <f>S564</f>
        <v>договорная</v>
      </c>
      <c r="S564" s="102" t="s">
        <v>623</v>
      </c>
      <c r="T564" s="50">
        <v>1.1000000000000001</v>
      </c>
      <c r="U564" s="102" t="s">
        <v>623</v>
      </c>
      <c r="V564" s="24"/>
      <c r="W564" s="85" t="s">
        <v>835</v>
      </c>
      <c r="X564" s="132" t="s">
        <v>987</v>
      </c>
    </row>
    <row r="565" spans="1:24" ht="30.75" customHeight="1" x14ac:dyDescent="0.2">
      <c r="A565" s="128" t="s">
        <v>901</v>
      </c>
      <c r="B565" s="300" t="s">
        <v>902</v>
      </c>
      <c r="C565" s="296"/>
      <c r="D565" s="296"/>
      <c r="E565" s="296"/>
      <c r="F565" s="296"/>
      <c r="G565" s="301"/>
      <c r="H565" s="301"/>
      <c r="I565" s="301"/>
      <c r="J565" s="302"/>
      <c r="K565" s="47"/>
      <c r="L565" s="102"/>
      <c r="M565" s="47"/>
      <c r="N565" s="44"/>
      <c r="O565" s="70"/>
      <c r="P565" s="102"/>
      <c r="Q565" s="70"/>
      <c r="R565" s="44"/>
      <c r="S565" s="102"/>
      <c r="T565" s="50"/>
      <c r="U565" s="102"/>
      <c r="V565" s="24"/>
      <c r="X565" s="132">
        <f>3305*106.5%</f>
        <v>3519.8249999999998</v>
      </c>
    </row>
    <row r="566" spans="1:24" ht="15.95" customHeight="1" x14ac:dyDescent="0.2">
      <c r="A566" s="128" t="s">
        <v>903</v>
      </c>
      <c r="B566" s="300" t="s">
        <v>904</v>
      </c>
      <c r="C566" s="296"/>
      <c r="D566" s="296"/>
      <c r="E566" s="296"/>
      <c r="F566" s="296"/>
      <c r="G566" s="301"/>
      <c r="H566" s="301"/>
      <c r="I566" s="301"/>
      <c r="J566" s="302"/>
      <c r="K566" s="47"/>
      <c r="L566" s="102"/>
      <c r="M566" s="47"/>
      <c r="N566" s="44"/>
      <c r="O566" s="70"/>
      <c r="P566" s="102"/>
      <c r="Q566" s="70"/>
      <c r="R566" s="44"/>
      <c r="S566" s="102"/>
      <c r="T566" s="50"/>
      <c r="U566" s="102"/>
      <c r="V566" s="24"/>
      <c r="X566" s="132">
        <f>2795*106.5%</f>
        <v>2976.6749999999997</v>
      </c>
    </row>
    <row r="567" spans="1:24" ht="15.95" customHeight="1" x14ac:dyDescent="0.2">
      <c r="A567" s="128" t="s">
        <v>941</v>
      </c>
      <c r="B567" s="323" t="s">
        <v>933</v>
      </c>
      <c r="C567" s="296"/>
      <c r="D567" s="296"/>
      <c r="E567" s="296"/>
      <c r="F567" s="296"/>
      <c r="G567" s="301"/>
      <c r="H567" s="301"/>
      <c r="I567" s="301"/>
      <c r="J567" s="302"/>
      <c r="K567" s="47"/>
      <c r="L567" s="102"/>
      <c r="M567" s="47"/>
      <c r="N567" s="44"/>
      <c r="O567" s="70"/>
      <c r="P567" s="102"/>
      <c r="Q567" s="70"/>
      <c r="R567" s="44"/>
      <c r="S567" s="102"/>
      <c r="T567" s="50"/>
      <c r="U567" s="102"/>
      <c r="V567" s="24"/>
      <c r="X567" s="132">
        <f>1775*106.5%</f>
        <v>1890.375</v>
      </c>
    </row>
    <row r="568" spans="1:24" ht="28.5" customHeight="1" x14ac:dyDescent="0.2">
      <c r="A568" s="128" t="s">
        <v>942</v>
      </c>
      <c r="B568" s="299" t="s">
        <v>900</v>
      </c>
      <c r="C568" s="296"/>
      <c r="D568" s="296"/>
      <c r="E568" s="296"/>
      <c r="F568" s="296"/>
      <c r="G568" s="301"/>
      <c r="H568" s="301"/>
      <c r="I568" s="301"/>
      <c r="J568" s="302"/>
      <c r="K568" s="47"/>
      <c r="L568" s="102"/>
      <c r="M568" s="47"/>
      <c r="N568" s="44"/>
      <c r="O568" s="70"/>
      <c r="P568" s="102"/>
      <c r="Q568" s="70"/>
      <c r="R568" s="44"/>
      <c r="S568" s="102"/>
      <c r="T568" s="50"/>
      <c r="U568" s="102"/>
      <c r="V568" s="24"/>
      <c r="X568" s="105" t="s">
        <v>989</v>
      </c>
    </row>
    <row r="569" spans="1:24" ht="29.25" customHeight="1" x14ac:dyDescent="0.2">
      <c r="A569" s="128" t="s">
        <v>943</v>
      </c>
      <c r="B569" s="299" t="s">
        <v>936</v>
      </c>
      <c r="C569" s="296"/>
      <c r="D569" s="296"/>
      <c r="E569" s="296"/>
      <c r="F569" s="296"/>
      <c r="G569" s="301"/>
      <c r="H569" s="301"/>
      <c r="I569" s="301"/>
      <c r="J569" s="302"/>
      <c r="K569" s="47"/>
      <c r="L569" s="102"/>
      <c r="M569" s="47"/>
      <c r="N569" s="44"/>
      <c r="O569" s="70"/>
      <c r="P569" s="102"/>
      <c r="Q569" s="70"/>
      <c r="R569" s="44"/>
      <c r="S569" s="102"/>
      <c r="T569" s="50"/>
      <c r="U569" s="102"/>
      <c r="V569" s="24"/>
      <c r="X569" s="105" t="s">
        <v>989</v>
      </c>
    </row>
    <row r="570" spans="1:24" ht="15.95" customHeight="1" x14ac:dyDescent="0.2">
      <c r="A570" s="128" t="s">
        <v>944</v>
      </c>
      <c r="B570" s="299" t="s">
        <v>945</v>
      </c>
      <c r="C570" s="296"/>
      <c r="D570" s="296"/>
      <c r="E570" s="296"/>
      <c r="F570" s="296"/>
      <c r="G570" s="301"/>
      <c r="H570" s="301"/>
      <c r="I570" s="301"/>
      <c r="J570" s="302"/>
      <c r="K570" s="47"/>
      <c r="L570" s="102"/>
      <c r="M570" s="47"/>
      <c r="N570" s="44"/>
      <c r="O570" s="70"/>
      <c r="P570" s="102"/>
      <c r="Q570" s="70"/>
      <c r="R570" s="44"/>
      <c r="S570" s="102"/>
      <c r="T570" s="50"/>
      <c r="U570" s="102"/>
      <c r="V570" s="24"/>
      <c r="X570" s="132">
        <f>24023*106.5%</f>
        <v>25584.494999999999</v>
      </c>
    </row>
    <row r="571" spans="1:24" ht="15.95" customHeight="1" x14ac:dyDescent="0.25">
      <c r="A571" s="410" t="s">
        <v>982</v>
      </c>
      <c r="B571" s="411"/>
      <c r="C571" s="411"/>
      <c r="D571" s="411"/>
      <c r="E571" s="411"/>
      <c r="F571" s="411"/>
      <c r="G571" s="411"/>
      <c r="H571" s="411"/>
      <c r="I571" s="411"/>
      <c r="J571" s="412"/>
      <c r="K571" s="47"/>
      <c r="L571" s="44"/>
      <c r="M571" s="47"/>
      <c r="N571" s="44"/>
      <c r="O571" s="70"/>
      <c r="P571" s="44"/>
      <c r="Q571" s="70"/>
      <c r="R571" s="44"/>
      <c r="S571" s="102"/>
      <c r="T571" s="50"/>
      <c r="U571" s="102"/>
      <c r="V571" s="15"/>
      <c r="X571" s="132"/>
    </row>
    <row r="572" spans="1:24" s="18" customFormat="1" ht="27.95" customHeight="1" x14ac:dyDescent="0.25">
      <c r="A572" s="128" t="s">
        <v>234</v>
      </c>
      <c r="B572" s="345" t="s">
        <v>706</v>
      </c>
      <c r="C572" s="346"/>
      <c r="D572" s="346"/>
      <c r="E572" s="346"/>
      <c r="F572" s="346"/>
      <c r="G572" s="346"/>
      <c r="H572" s="346"/>
      <c r="I572" s="346"/>
      <c r="J572" s="347"/>
      <c r="K572" s="47"/>
      <c r="L572" s="44"/>
      <c r="M572" s="47"/>
      <c r="N572" s="44"/>
      <c r="O572" s="70"/>
      <c r="P572" s="44"/>
      <c r="Q572" s="70"/>
      <c r="R572" s="44"/>
      <c r="S572" s="44"/>
      <c r="T572" s="50"/>
      <c r="U572" s="44"/>
      <c r="V572" s="15"/>
      <c r="W572" s="256"/>
      <c r="X572" s="268"/>
    </row>
    <row r="573" spans="1:24" ht="15" customHeight="1" x14ac:dyDescent="0.25">
      <c r="A573" s="362" t="s">
        <v>235</v>
      </c>
      <c r="B573" s="384" t="s">
        <v>40</v>
      </c>
      <c r="C573" s="385"/>
      <c r="D573" s="385"/>
      <c r="E573" s="385"/>
      <c r="F573" s="385"/>
      <c r="G573" s="385"/>
      <c r="H573" s="385"/>
      <c r="I573" s="385"/>
      <c r="J573" s="386"/>
      <c r="K573" s="47"/>
      <c r="L573" s="44"/>
      <c r="M573" s="47"/>
      <c r="N573" s="44"/>
      <c r="O573" s="70"/>
      <c r="P573" s="44"/>
      <c r="Q573" s="70"/>
      <c r="R573" s="44"/>
      <c r="S573" s="44"/>
      <c r="T573" s="50"/>
      <c r="U573" s="44"/>
      <c r="V573" s="15"/>
      <c r="X573" s="85"/>
    </row>
    <row r="574" spans="1:24" ht="15" customHeight="1" x14ac:dyDescent="0.2">
      <c r="A574" s="363"/>
      <c r="B574" s="128" t="s">
        <v>432</v>
      </c>
      <c r="C574" s="47">
        <v>50.655684616992012</v>
      </c>
      <c r="D574" s="284"/>
      <c r="E574" s="47">
        <f>C574*1.0582</f>
        <v>53.603845461700949</v>
      </c>
      <c r="F574" s="56">
        <v>150.44999999999999</v>
      </c>
      <c r="G574" s="44">
        <v>165</v>
      </c>
      <c r="H574" s="53">
        <f>J574*I574</f>
        <v>256.66078179924</v>
      </c>
      <c r="I574" s="70">
        <v>1.0620000000000001</v>
      </c>
      <c r="J574" s="44">
        <f>K574*L574</f>
        <v>241.67681902000001</v>
      </c>
      <c r="K574" s="70">
        <v>1.0640000000000001</v>
      </c>
      <c r="L574" s="44">
        <f>M574*N574</f>
        <v>227.13986750000001</v>
      </c>
      <c r="M574" s="47">
        <v>1.07</v>
      </c>
      <c r="N574" s="44">
        <f t="shared" si="189"/>
        <v>212.28025</v>
      </c>
      <c r="O574" s="70">
        <v>1.075</v>
      </c>
      <c r="P574" s="44">
        <f t="shared" si="182"/>
        <v>197.47</v>
      </c>
      <c r="Q574" s="70">
        <v>1.085</v>
      </c>
      <c r="R574" s="44">
        <v>182</v>
      </c>
      <c r="S574" s="44">
        <f>G574*T574</f>
        <v>181.50000000000003</v>
      </c>
      <c r="T574" s="50">
        <v>1.1000000000000001</v>
      </c>
      <c r="U574" s="44">
        <f>I574*V574</f>
        <v>291.65391278974846</v>
      </c>
      <c r="V574" s="203">
        <f>H574*107%</f>
        <v>274.62703652518684</v>
      </c>
      <c r="W574" s="266">
        <f>V574</f>
        <v>274.62703652518684</v>
      </c>
      <c r="X574" s="206">
        <f>352*106.5%</f>
        <v>374.88</v>
      </c>
    </row>
    <row r="575" spans="1:24" ht="15" customHeight="1" x14ac:dyDescent="0.2">
      <c r="A575" s="363"/>
      <c r="B575" s="128" t="s">
        <v>433</v>
      </c>
      <c r="C575" s="47">
        <v>80.81171555184001</v>
      </c>
      <c r="D575" s="284"/>
      <c r="E575" s="47">
        <f>C575*1.0582</f>
        <v>85.514957396957101</v>
      </c>
      <c r="F575" s="47">
        <v>240</v>
      </c>
      <c r="G575" s="44">
        <v>264</v>
      </c>
      <c r="H575" s="53">
        <f>J575*I575</f>
        <v>408.96498198780006</v>
      </c>
      <c r="I575" s="70">
        <v>1.0620000000000001</v>
      </c>
      <c r="J575" s="44">
        <f>K575*L575</f>
        <v>385.08943690000001</v>
      </c>
      <c r="K575" s="70">
        <v>1.0640000000000001</v>
      </c>
      <c r="L575" s="44">
        <f t="shared" ref="L575:L640" si="195">M575*N575</f>
        <v>361.92616249999998</v>
      </c>
      <c r="M575" s="47">
        <v>1.07</v>
      </c>
      <c r="N575" s="44">
        <f t="shared" si="189"/>
        <v>338.24874999999997</v>
      </c>
      <c r="O575" s="70">
        <v>1.075</v>
      </c>
      <c r="P575" s="44">
        <f t="shared" si="182"/>
        <v>314.64999999999998</v>
      </c>
      <c r="Q575" s="70">
        <v>1.085</v>
      </c>
      <c r="R575" s="44">
        <v>290</v>
      </c>
      <c r="S575" s="44">
        <f>G575*T575</f>
        <v>290.40000000000003</v>
      </c>
      <c r="T575" s="50">
        <v>1.1000000000000001</v>
      </c>
      <c r="U575" s="44">
        <f>I575*V575</f>
        <v>464.72326763201681</v>
      </c>
      <c r="V575" s="203">
        <f>H575*107%</f>
        <v>437.59253072694611</v>
      </c>
      <c r="W575" s="266">
        <f>V575</f>
        <v>437.59253072694611</v>
      </c>
      <c r="X575" s="206">
        <f>562*106.5%</f>
        <v>598.53</v>
      </c>
    </row>
    <row r="576" spans="1:24" ht="15" customHeight="1" x14ac:dyDescent="0.2">
      <c r="A576" s="363"/>
      <c r="B576" s="128" t="s">
        <v>434</v>
      </c>
      <c r="C576" s="47">
        <v>106.176190550976</v>
      </c>
      <c r="D576" s="284"/>
      <c r="E576" s="47">
        <f>C576*1.0582</f>
        <v>112.3556448410428</v>
      </c>
      <c r="F576" s="47">
        <v>315.36</v>
      </c>
      <c r="G576" s="44">
        <v>347</v>
      </c>
      <c r="H576" s="53">
        <f>J576*I576</f>
        <v>538.70559696323994</v>
      </c>
      <c r="I576" s="70">
        <v>1.0620000000000001</v>
      </c>
      <c r="J576" s="44">
        <f>K576*L576</f>
        <v>507.25574101999996</v>
      </c>
      <c r="K576" s="70">
        <v>1.0640000000000001</v>
      </c>
      <c r="L576" s="44">
        <f t="shared" si="195"/>
        <v>476.74411749999996</v>
      </c>
      <c r="M576" s="47">
        <v>1.07</v>
      </c>
      <c r="N576" s="44">
        <f t="shared" si="189"/>
        <v>445.55524999999994</v>
      </c>
      <c r="O576" s="70">
        <v>1.075</v>
      </c>
      <c r="P576" s="44">
        <f t="shared" si="182"/>
        <v>414.46999999999997</v>
      </c>
      <c r="Q576" s="70">
        <v>1.085</v>
      </c>
      <c r="R576" s="44">
        <v>382</v>
      </c>
      <c r="S576" s="44">
        <f>G576*T576</f>
        <v>381.70000000000005</v>
      </c>
      <c r="T576" s="50">
        <v>1.1000000000000001</v>
      </c>
      <c r="U576" s="44">
        <f>I576*V576</f>
        <v>612.15271805320822</v>
      </c>
      <c r="V576" s="203">
        <f>H576*107%</f>
        <v>576.41498875066679</v>
      </c>
      <c r="W576" s="266">
        <f>V576</f>
        <v>576.41498875066679</v>
      </c>
      <c r="X576" s="206">
        <f>739*106.5%</f>
        <v>787.03499999999997</v>
      </c>
    </row>
    <row r="577" spans="1:24" ht="15" customHeight="1" x14ac:dyDescent="0.2">
      <c r="A577" s="363"/>
      <c r="B577" s="128" t="s">
        <v>435</v>
      </c>
      <c r="C577" s="47">
        <v>80.81171555184001</v>
      </c>
      <c r="D577" s="284"/>
      <c r="E577" s="47">
        <f>C577*1.0582</f>
        <v>85.514957396957101</v>
      </c>
      <c r="F577" s="47">
        <v>240</v>
      </c>
      <c r="G577" s="44">
        <v>264</v>
      </c>
      <c r="H577" s="53">
        <f>J577*I577</f>
        <v>408.96498198780006</v>
      </c>
      <c r="I577" s="70">
        <v>1.0620000000000001</v>
      </c>
      <c r="J577" s="44">
        <f>K577*L577</f>
        <v>385.08943690000001</v>
      </c>
      <c r="K577" s="70">
        <v>1.0640000000000001</v>
      </c>
      <c r="L577" s="44">
        <f t="shared" si="195"/>
        <v>361.92616249999998</v>
      </c>
      <c r="M577" s="47">
        <v>1.07</v>
      </c>
      <c r="N577" s="44">
        <f t="shared" si="189"/>
        <v>338.24874999999997</v>
      </c>
      <c r="O577" s="70">
        <v>1.075</v>
      </c>
      <c r="P577" s="44">
        <f t="shared" si="182"/>
        <v>314.64999999999998</v>
      </c>
      <c r="Q577" s="70">
        <v>1.085</v>
      </c>
      <c r="R577" s="44">
        <v>290</v>
      </c>
      <c r="S577" s="44">
        <f>G577*T577</f>
        <v>290.40000000000003</v>
      </c>
      <c r="T577" s="50">
        <v>1.1000000000000001</v>
      </c>
      <c r="U577" s="44">
        <f>I577*V577</f>
        <v>464.72326763201681</v>
      </c>
      <c r="V577" s="203">
        <f>H577*107%</f>
        <v>437.59253072694611</v>
      </c>
      <c r="W577" s="266">
        <f>V577</f>
        <v>437.59253072694611</v>
      </c>
      <c r="X577" s="206">
        <f>562*106.5%</f>
        <v>598.53</v>
      </c>
    </row>
    <row r="578" spans="1:24" ht="15" customHeight="1" x14ac:dyDescent="0.2">
      <c r="A578" s="363"/>
      <c r="B578" s="55" t="s">
        <v>436</v>
      </c>
      <c r="C578" s="47">
        <v>33.394360787424006</v>
      </c>
      <c r="D578" s="284"/>
      <c r="E578" s="47">
        <f>C578*1.0582</f>
        <v>35.337912585252084</v>
      </c>
      <c r="F578" s="47">
        <v>99.18</v>
      </c>
      <c r="G578" s="44">
        <v>109</v>
      </c>
      <c r="H578" s="53">
        <f>J578*I578</f>
        <v>169.22688909839999</v>
      </c>
      <c r="I578" s="70">
        <v>1.0620000000000001</v>
      </c>
      <c r="J578" s="44">
        <f>K578*L578</f>
        <v>159.34735319999999</v>
      </c>
      <c r="K578" s="70">
        <v>1.0640000000000001</v>
      </c>
      <c r="L578" s="44">
        <f t="shared" si="195"/>
        <v>149.76254999999998</v>
      </c>
      <c r="M578" s="47">
        <v>1.07</v>
      </c>
      <c r="N578" s="44">
        <f t="shared" si="189"/>
        <v>139.96499999999997</v>
      </c>
      <c r="O578" s="70">
        <v>1.075</v>
      </c>
      <c r="P578" s="44">
        <f t="shared" si="182"/>
        <v>130.19999999999999</v>
      </c>
      <c r="Q578" s="70">
        <v>1.085</v>
      </c>
      <c r="R578" s="44">
        <v>120</v>
      </c>
      <c r="S578" s="44">
        <f>G578*T578</f>
        <v>119.9</v>
      </c>
      <c r="T578" s="50">
        <v>1.1000000000000001</v>
      </c>
      <c r="U578" s="44">
        <f>I578*V578</f>
        <v>192.29928315807587</v>
      </c>
      <c r="V578" s="203">
        <f>H578*107%</f>
        <v>181.072771335288</v>
      </c>
      <c r="W578" s="266">
        <f>V578</f>
        <v>181.072771335288</v>
      </c>
      <c r="X578" s="206">
        <f>233*106.5%</f>
        <v>248.14499999999998</v>
      </c>
    </row>
    <row r="579" spans="1:24" ht="15" customHeight="1" x14ac:dyDescent="0.25">
      <c r="A579" s="413" t="s">
        <v>238</v>
      </c>
      <c r="B579" s="345" t="s">
        <v>41</v>
      </c>
      <c r="C579" s="346"/>
      <c r="D579" s="346"/>
      <c r="E579" s="346"/>
      <c r="F579" s="346"/>
      <c r="G579" s="346"/>
      <c r="H579" s="346"/>
      <c r="I579" s="346"/>
      <c r="J579" s="347"/>
      <c r="K579" s="47"/>
      <c r="L579" s="44"/>
      <c r="M579" s="47"/>
      <c r="N579" s="44"/>
      <c r="O579" s="70"/>
      <c r="P579" s="44"/>
      <c r="Q579" s="70"/>
      <c r="R579" s="44"/>
      <c r="S579" s="44"/>
      <c r="T579" s="50"/>
      <c r="U579" s="44"/>
      <c r="V579" s="15"/>
      <c r="X579" s="206"/>
    </row>
    <row r="580" spans="1:24" ht="15" customHeight="1" x14ac:dyDescent="0.2">
      <c r="A580" s="414"/>
      <c r="B580" s="55" t="s">
        <v>441</v>
      </c>
      <c r="C580" s="47">
        <v>116.09632317628804</v>
      </c>
      <c r="D580" s="284"/>
      <c r="E580" s="47">
        <f t="shared" ref="E580:E593" si="196">C580*1.0582</f>
        <v>122.85312918514801</v>
      </c>
      <c r="F580" s="47">
        <v>344.36</v>
      </c>
      <c r="G580" s="44">
        <v>378</v>
      </c>
      <c r="H580" s="53">
        <f t="shared" ref="H580:H595" si="197">J580*I580</f>
        <v>586.65321554111995</v>
      </c>
      <c r="I580" s="70">
        <v>1.0620000000000001</v>
      </c>
      <c r="J580" s="44">
        <f t="shared" ref="J580:J595" si="198">K580*L580</f>
        <v>552.40415775999998</v>
      </c>
      <c r="K580" s="70">
        <v>1.0640000000000001</v>
      </c>
      <c r="L580" s="44">
        <f t="shared" si="195"/>
        <v>519.17683999999997</v>
      </c>
      <c r="M580" s="47">
        <v>1.07</v>
      </c>
      <c r="N580" s="44">
        <f t="shared" si="189"/>
        <v>485.21199999999999</v>
      </c>
      <c r="O580" s="70">
        <v>1.075</v>
      </c>
      <c r="P580" s="44">
        <f t="shared" si="182"/>
        <v>451.36</v>
      </c>
      <c r="Q580" s="70">
        <v>1.085</v>
      </c>
      <c r="R580" s="44">
        <v>416</v>
      </c>
      <c r="S580" s="44">
        <f t="shared" ref="S580:U593" si="199">G580*T580</f>
        <v>415.8</v>
      </c>
      <c r="T580" s="50">
        <v>1.1000000000000001</v>
      </c>
      <c r="U580" s="44">
        <f t="shared" si="199"/>
        <v>666.63751494799624</v>
      </c>
      <c r="V580" s="203">
        <f t="shared" ref="V580:V595" si="200">H580*107%</f>
        <v>627.71894062899833</v>
      </c>
      <c r="W580" s="266">
        <f t="shared" ref="W580:W595" si="201">V580</f>
        <v>627.71894062899833</v>
      </c>
      <c r="X580" s="206">
        <f>804*106.5%</f>
        <v>856.26</v>
      </c>
    </row>
    <row r="581" spans="1:24" ht="15" customHeight="1" x14ac:dyDescent="0.2">
      <c r="A581" s="414"/>
      <c r="B581" s="55" t="s">
        <v>442</v>
      </c>
      <c r="C581" s="47">
        <v>72.019869798240009</v>
      </c>
      <c r="D581" s="284"/>
      <c r="E581" s="47">
        <f t="shared" si="196"/>
        <v>76.211426220497586</v>
      </c>
      <c r="F581" s="47">
        <v>213.92</v>
      </c>
      <c r="G581" s="44">
        <v>235</v>
      </c>
      <c r="H581" s="53">
        <f t="shared" si="197"/>
        <v>365.24803563738004</v>
      </c>
      <c r="I581" s="70">
        <v>1.0620000000000001</v>
      </c>
      <c r="J581" s="44">
        <f t="shared" si="198"/>
        <v>343.92470399000001</v>
      </c>
      <c r="K581" s="70">
        <v>1.0640000000000001</v>
      </c>
      <c r="L581" s="44">
        <f t="shared" si="195"/>
        <v>323.23750374999997</v>
      </c>
      <c r="M581" s="47">
        <v>1.07</v>
      </c>
      <c r="N581" s="44">
        <f t="shared" si="189"/>
        <v>302.09112499999998</v>
      </c>
      <c r="O581" s="70">
        <v>1.075</v>
      </c>
      <c r="P581" s="44">
        <f t="shared" si="182"/>
        <v>281.01499999999999</v>
      </c>
      <c r="Q581" s="70">
        <v>1.085</v>
      </c>
      <c r="R581" s="44">
        <v>259</v>
      </c>
      <c r="S581" s="44">
        <f t="shared" si="199"/>
        <v>258.5</v>
      </c>
      <c r="T581" s="50">
        <v>1.1000000000000001</v>
      </c>
      <c r="U581" s="44">
        <f t="shared" si="199"/>
        <v>415.04595281618049</v>
      </c>
      <c r="V581" s="203">
        <f t="shared" si="200"/>
        <v>390.81539813199669</v>
      </c>
      <c r="W581" s="266">
        <f t="shared" si="201"/>
        <v>390.81539813199669</v>
      </c>
      <c r="X581" s="206">
        <f>501*106.5%</f>
        <v>533.56499999999994</v>
      </c>
    </row>
    <row r="582" spans="1:24" ht="15" customHeight="1" x14ac:dyDescent="0.2">
      <c r="A582" s="414"/>
      <c r="B582" s="55" t="s">
        <v>443</v>
      </c>
      <c r="C582" s="47">
        <v>88.50458058624001</v>
      </c>
      <c r="D582" s="284"/>
      <c r="E582" s="47">
        <f t="shared" si="196"/>
        <v>93.655547176359178</v>
      </c>
      <c r="F582" s="47">
        <v>262.88</v>
      </c>
      <c r="G582" s="44">
        <v>289</v>
      </c>
      <c r="H582" s="53">
        <f t="shared" si="197"/>
        <v>448.45125611076008</v>
      </c>
      <c r="I582" s="70">
        <v>1.0620000000000001</v>
      </c>
      <c r="J582" s="44">
        <f t="shared" si="198"/>
        <v>422.27048598000005</v>
      </c>
      <c r="K582" s="70">
        <v>1.0640000000000001</v>
      </c>
      <c r="L582" s="44">
        <f t="shared" si="195"/>
        <v>396.87075750000002</v>
      </c>
      <c r="M582" s="47">
        <v>1.07</v>
      </c>
      <c r="N582" s="44">
        <f t="shared" si="189"/>
        <v>370.90724999999998</v>
      </c>
      <c r="O582" s="70">
        <v>1.075</v>
      </c>
      <c r="P582" s="44">
        <f t="shared" si="182"/>
        <v>345.03</v>
      </c>
      <c r="Q582" s="70">
        <v>1.085</v>
      </c>
      <c r="R582" s="44">
        <v>318</v>
      </c>
      <c r="S582" s="44">
        <f t="shared" si="199"/>
        <v>317.90000000000003</v>
      </c>
      <c r="T582" s="50">
        <v>1.1000000000000001</v>
      </c>
      <c r="U582" s="44">
        <f t="shared" si="199"/>
        <v>509.59310036890116</v>
      </c>
      <c r="V582" s="203">
        <f t="shared" si="200"/>
        <v>479.84284403851331</v>
      </c>
      <c r="W582" s="266">
        <f t="shared" si="201"/>
        <v>479.84284403851331</v>
      </c>
      <c r="X582" s="206">
        <f>615*106.5%</f>
        <v>654.97500000000002</v>
      </c>
    </row>
    <row r="583" spans="1:24" ht="15" customHeight="1" x14ac:dyDescent="0.2">
      <c r="A583" s="414"/>
      <c r="B583" s="55" t="s">
        <v>444</v>
      </c>
      <c r="C583" s="47">
        <v>99.172020100608037</v>
      </c>
      <c r="D583" s="284"/>
      <c r="E583" s="47">
        <f t="shared" si="196"/>
        <v>104.94383167046342</v>
      </c>
      <c r="F583" s="47">
        <v>294.56</v>
      </c>
      <c r="G583" s="44">
        <v>325</v>
      </c>
      <c r="H583" s="53">
        <f t="shared" si="197"/>
        <v>504.86021914356013</v>
      </c>
      <c r="I583" s="70">
        <v>1.0620000000000001</v>
      </c>
      <c r="J583" s="44">
        <f t="shared" si="198"/>
        <v>475.3862703800001</v>
      </c>
      <c r="K583" s="70">
        <v>1.0640000000000001</v>
      </c>
      <c r="L583" s="44">
        <f t="shared" si="195"/>
        <v>446.79160750000005</v>
      </c>
      <c r="M583" s="47">
        <v>1.07</v>
      </c>
      <c r="N583" s="44">
        <f t="shared" si="189"/>
        <v>417.56225000000001</v>
      </c>
      <c r="O583" s="70">
        <v>1.075</v>
      </c>
      <c r="P583" s="44">
        <f t="shared" si="182"/>
        <v>388.43</v>
      </c>
      <c r="Q583" s="70">
        <v>1.085</v>
      </c>
      <c r="R583" s="44">
        <v>358</v>
      </c>
      <c r="S583" s="44">
        <f t="shared" si="199"/>
        <v>357.50000000000006</v>
      </c>
      <c r="T583" s="50">
        <v>1.1000000000000001</v>
      </c>
      <c r="U583" s="44">
        <f t="shared" si="199"/>
        <v>573.69286142159319</v>
      </c>
      <c r="V583" s="203">
        <f t="shared" si="200"/>
        <v>540.20043448360934</v>
      </c>
      <c r="W583" s="266">
        <f t="shared" si="201"/>
        <v>540.20043448360934</v>
      </c>
      <c r="X583" s="206">
        <f>693*106.5%</f>
        <v>738.04499999999996</v>
      </c>
    </row>
    <row r="584" spans="1:24" ht="15" customHeight="1" x14ac:dyDescent="0.2">
      <c r="A584" s="414"/>
      <c r="B584" s="55" t="s">
        <v>445</v>
      </c>
      <c r="C584" s="47">
        <v>116.09632317628804</v>
      </c>
      <c r="D584" s="284"/>
      <c r="E584" s="47">
        <f t="shared" si="196"/>
        <v>122.85312918514801</v>
      </c>
      <c r="F584" s="47">
        <v>344.96</v>
      </c>
      <c r="G584" s="44">
        <v>380</v>
      </c>
      <c r="H584" s="53">
        <f t="shared" si="197"/>
        <v>589.47366369276006</v>
      </c>
      <c r="I584" s="70">
        <v>1.0620000000000001</v>
      </c>
      <c r="J584" s="44">
        <f t="shared" si="198"/>
        <v>555.05994698000006</v>
      </c>
      <c r="K584" s="70">
        <v>1.0640000000000001</v>
      </c>
      <c r="L584" s="44">
        <f t="shared" si="195"/>
        <v>521.67288250000001</v>
      </c>
      <c r="M584" s="47">
        <v>1.07</v>
      </c>
      <c r="N584" s="44">
        <f t="shared" si="189"/>
        <v>487.54474999999996</v>
      </c>
      <c r="O584" s="70">
        <v>1.075</v>
      </c>
      <c r="P584" s="44">
        <f t="shared" si="182"/>
        <v>453.53</v>
      </c>
      <c r="Q584" s="70">
        <v>1.085</v>
      </c>
      <c r="R584" s="44">
        <v>418</v>
      </c>
      <c r="S584" s="44">
        <f t="shared" si="199"/>
        <v>418.00000000000006</v>
      </c>
      <c r="T584" s="50">
        <v>1.1000000000000001</v>
      </c>
      <c r="U584" s="44">
        <f t="shared" si="199"/>
        <v>669.84250300063104</v>
      </c>
      <c r="V584" s="203">
        <f t="shared" si="200"/>
        <v>630.73682015125326</v>
      </c>
      <c r="W584" s="266">
        <f t="shared" si="201"/>
        <v>630.73682015125326</v>
      </c>
      <c r="X584" s="206">
        <f>809*106.5%</f>
        <v>861.58499999999992</v>
      </c>
    </row>
    <row r="585" spans="1:24" ht="15" customHeight="1" x14ac:dyDescent="0.2">
      <c r="A585" s="414"/>
      <c r="B585" s="55" t="s">
        <v>446</v>
      </c>
      <c r="C585" s="47">
        <v>96.622384832064</v>
      </c>
      <c r="D585" s="284"/>
      <c r="E585" s="47">
        <f t="shared" si="196"/>
        <v>102.24580762929013</v>
      </c>
      <c r="F585" s="47">
        <v>287.04000000000002</v>
      </c>
      <c r="G585" s="44">
        <v>316</v>
      </c>
      <c r="H585" s="53">
        <f t="shared" si="197"/>
        <v>490.7579783853601</v>
      </c>
      <c r="I585" s="70">
        <v>1.0620000000000001</v>
      </c>
      <c r="J585" s="44">
        <f t="shared" si="198"/>
        <v>462.10732428000006</v>
      </c>
      <c r="K585" s="70">
        <v>1.0640000000000001</v>
      </c>
      <c r="L585" s="44">
        <f t="shared" si="195"/>
        <v>434.311395</v>
      </c>
      <c r="M585" s="47">
        <v>1.07</v>
      </c>
      <c r="N585" s="44">
        <f t="shared" si="189"/>
        <v>405.89849999999996</v>
      </c>
      <c r="O585" s="70">
        <v>1.075</v>
      </c>
      <c r="P585" s="44">
        <f t="shared" si="182"/>
        <v>377.58</v>
      </c>
      <c r="Q585" s="70">
        <v>1.085</v>
      </c>
      <c r="R585" s="44">
        <v>348</v>
      </c>
      <c r="S585" s="44">
        <f t="shared" si="199"/>
        <v>347.6</v>
      </c>
      <c r="T585" s="50">
        <v>1.1000000000000001</v>
      </c>
      <c r="U585" s="44">
        <f t="shared" si="199"/>
        <v>557.6679211584202</v>
      </c>
      <c r="V585" s="203">
        <f t="shared" si="200"/>
        <v>525.11103687233538</v>
      </c>
      <c r="W585" s="266">
        <f t="shared" si="201"/>
        <v>525.11103687233538</v>
      </c>
      <c r="X585" s="206">
        <f>673*106.5%</f>
        <v>716.745</v>
      </c>
    </row>
    <row r="586" spans="1:24" ht="15" customHeight="1" x14ac:dyDescent="0.2">
      <c r="A586" s="414"/>
      <c r="B586" s="55" t="s">
        <v>447</v>
      </c>
      <c r="C586" s="47">
        <v>72.019869798240009</v>
      </c>
      <c r="D586" s="284"/>
      <c r="E586" s="47">
        <f t="shared" si="196"/>
        <v>76.211426220497586</v>
      </c>
      <c r="F586" s="47">
        <v>213.92</v>
      </c>
      <c r="G586" s="44">
        <v>235</v>
      </c>
      <c r="H586" s="53">
        <f t="shared" si="197"/>
        <v>365.24803563738004</v>
      </c>
      <c r="I586" s="70">
        <v>1.0620000000000001</v>
      </c>
      <c r="J586" s="44">
        <f t="shared" si="198"/>
        <v>343.92470399000001</v>
      </c>
      <c r="K586" s="70">
        <v>1.0640000000000001</v>
      </c>
      <c r="L586" s="44">
        <f t="shared" si="195"/>
        <v>323.23750374999997</v>
      </c>
      <c r="M586" s="47">
        <v>1.07</v>
      </c>
      <c r="N586" s="44">
        <f t="shared" si="189"/>
        <v>302.09112499999998</v>
      </c>
      <c r="O586" s="70">
        <v>1.075</v>
      </c>
      <c r="P586" s="44">
        <f t="shared" si="182"/>
        <v>281.01499999999999</v>
      </c>
      <c r="Q586" s="70">
        <v>1.085</v>
      </c>
      <c r="R586" s="44">
        <v>259</v>
      </c>
      <c r="S586" s="44">
        <f t="shared" si="199"/>
        <v>258.5</v>
      </c>
      <c r="T586" s="50">
        <v>1.1000000000000001</v>
      </c>
      <c r="U586" s="44">
        <f t="shared" si="199"/>
        <v>415.04595281618049</v>
      </c>
      <c r="V586" s="203">
        <f t="shared" si="200"/>
        <v>390.81539813199669</v>
      </c>
      <c r="W586" s="266">
        <f t="shared" si="201"/>
        <v>390.81539813199669</v>
      </c>
      <c r="X586" s="206">
        <f>501*106.5%</f>
        <v>533.56499999999994</v>
      </c>
    </row>
    <row r="587" spans="1:24" ht="15" customHeight="1" x14ac:dyDescent="0.2">
      <c r="A587" s="414"/>
      <c r="B587" s="55" t="s">
        <v>448</v>
      </c>
      <c r="C587" s="47">
        <v>80.035102510271997</v>
      </c>
      <c r="D587" s="284"/>
      <c r="E587" s="47">
        <f t="shared" si="196"/>
        <v>84.693145476369835</v>
      </c>
      <c r="F587" s="47">
        <v>237.6</v>
      </c>
      <c r="G587" s="44">
        <v>262</v>
      </c>
      <c r="H587" s="53">
        <f t="shared" si="197"/>
        <v>406.14453383616012</v>
      </c>
      <c r="I587" s="70">
        <v>1.0620000000000001</v>
      </c>
      <c r="J587" s="44">
        <f t="shared" si="198"/>
        <v>382.43364768000009</v>
      </c>
      <c r="K587" s="70">
        <v>1.0640000000000001</v>
      </c>
      <c r="L587" s="44">
        <f t="shared" si="195"/>
        <v>359.43012000000004</v>
      </c>
      <c r="M587" s="47">
        <v>1.07</v>
      </c>
      <c r="N587" s="44">
        <f t="shared" si="189"/>
        <v>335.916</v>
      </c>
      <c r="O587" s="70">
        <v>1.075</v>
      </c>
      <c r="P587" s="44">
        <f t="shared" si="182"/>
        <v>312.48</v>
      </c>
      <c r="Q587" s="70">
        <v>1.085</v>
      </c>
      <c r="R587" s="44">
        <v>288</v>
      </c>
      <c r="S587" s="44">
        <f t="shared" si="199"/>
        <v>288.20000000000005</v>
      </c>
      <c r="T587" s="50">
        <v>1.1000000000000001</v>
      </c>
      <c r="U587" s="44">
        <f t="shared" si="199"/>
        <v>461.51827957938224</v>
      </c>
      <c r="V587" s="203">
        <f t="shared" si="200"/>
        <v>434.57465120469135</v>
      </c>
      <c r="W587" s="266">
        <f t="shared" si="201"/>
        <v>434.57465120469135</v>
      </c>
      <c r="X587" s="206">
        <f>558*106.5%</f>
        <v>594.27</v>
      </c>
    </row>
    <row r="588" spans="1:24" ht="15" customHeight="1" x14ac:dyDescent="0.2">
      <c r="A588" s="414"/>
      <c r="B588" s="55" t="s">
        <v>309</v>
      </c>
      <c r="C588" s="47">
        <v>80.035102510271997</v>
      </c>
      <c r="D588" s="284"/>
      <c r="E588" s="47">
        <f t="shared" si="196"/>
        <v>84.693145476369835</v>
      </c>
      <c r="F588" s="47">
        <v>237.6</v>
      </c>
      <c r="G588" s="44">
        <v>262</v>
      </c>
      <c r="H588" s="53">
        <f t="shared" si="197"/>
        <v>406.14453383616012</v>
      </c>
      <c r="I588" s="70">
        <v>1.0620000000000001</v>
      </c>
      <c r="J588" s="44">
        <f t="shared" si="198"/>
        <v>382.43364768000009</v>
      </c>
      <c r="K588" s="70">
        <v>1.0640000000000001</v>
      </c>
      <c r="L588" s="44">
        <f t="shared" si="195"/>
        <v>359.43012000000004</v>
      </c>
      <c r="M588" s="47">
        <v>1.07</v>
      </c>
      <c r="N588" s="44">
        <f t="shared" si="189"/>
        <v>335.916</v>
      </c>
      <c r="O588" s="70">
        <v>1.075</v>
      </c>
      <c r="P588" s="44">
        <f t="shared" si="182"/>
        <v>312.48</v>
      </c>
      <c r="Q588" s="70">
        <v>1.085</v>
      </c>
      <c r="R588" s="44">
        <v>288</v>
      </c>
      <c r="S588" s="44">
        <f t="shared" si="199"/>
        <v>288.20000000000005</v>
      </c>
      <c r="T588" s="50">
        <v>1.1000000000000001</v>
      </c>
      <c r="U588" s="44">
        <f t="shared" si="199"/>
        <v>461.51827957938224</v>
      </c>
      <c r="V588" s="203">
        <f t="shared" si="200"/>
        <v>434.57465120469135</v>
      </c>
      <c r="W588" s="266">
        <f t="shared" si="201"/>
        <v>434.57465120469135</v>
      </c>
      <c r="X588" s="206">
        <f>558*106.5%</f>
        <v>594.27</v>
      </c>
    </row>
    <row r="589" spans="1:24" ht="15" customHeight="1" x14ac:dyDescent="0.2">
      <c r="A589" s="414"/>
      <c r="B589" s="55" t="s">
        <v>449</v>
      </c>
      <c r="C589" s="47">
        <v>286.17457927968007</v>
      </c>
      <c r="D589" s="284"/>
      <c r="E589" s="47">
        <f t="shared" si="196"/>
        <v>302.82993979375749</v>
      </c>
      <c r="F589" s="47">
        <v>849.92</v>
      </c>
      <c r="G589" s="44">
        <v>935</v>
      </c>
      <c r="H589" s="53">
        <f t="shared" si="197"/>
        <v>1451.1205740187802</v>
      </c>
      <c r="I589" s="70">
        <v>1.0620000000000001</v>
      </c>
      <c r="J589" s="44">
        <f t="shared" si="198"/>
        <v>1366.4035536900001</v>
      </c>
      <c r="K589" s="70">
        <v>1.0640000000000001</v>
      </c>
      <c r="L589" s="44">
        <f t="shared" si="195"/>
        <v>1284.2138662499999</v>
      </c>
      <c r="M589" s="47">
        <v>1.07</v>
      </c>
      <c r="N589" s="44">
        <f t="shared" si="189"/>
        <v>1200.1998749999998</v>
      </c>
      <c r="O589" s="70">
        <v>1.075</v>
      </c>
      <c r="P589" s="44">
        <f t="shared" si="182"/>
        <v>1116.4649999999999</v>
      </c>
      <c r="Q589" s="70">
        <v>1.085</v>
      </c>
      <c r="R589" s="44">
        <v>1029</v>
      </c>
      <c r="S589" s="44">
        <f t="shared" si="199"/>
        <v>1028.5</v>
      </c>
      <c r="T589" s="50">
        <v>1.1000000000000001</v>
      </c>
      <c r="U589" s="44">
        <f t="shared" si="199"/>
        <v>1648.9663530805008</v>
      </c>
      <c r="V589" s="203">
        <f t="shared" si="200"/>
        <v>1552.6990142000948</v>
      </c>
      <c r="W589" s="266">
        <f t="shared" si="201"/>
        <v>1552.6990142000948</v>
      </c>
      <c r="X589" s="206">
        <f>1991*106.5%</f>
        <v>2120.415</v>
      </c>
    </row>
    <row r="590" spans="1:24" ht="15" customHeight="1" x14ac:dyDescent="0.2">
      <c r="A590" s="414"/>
      <c r="B590" s="55" t="s">
        <v>450</v>
      </c>
      <c r="C590" s="47">
        <v>88.50458058624001</v>
      </c>
      <c r="D590" s="284"/>
      <c r="E590" s="47">
        <f t="shared" si="196"/>
        <v>93.655547176359178</v>
      </c>
      <c r="F590" s="47">
        <v>262.88</v>
      </c>
      <c r="G590" s="44">
        <v>289</v>
      </c>
      <c r="H590" s="53">
        <f t="shared" si="197"/>
        <v>448.45125611076008</v>
      </c>
      <c r="I590" s="70">
        <v>1.0620000000000001</v>
      </c>
      <c r="J590" s="44">
        <f t="shared" si="198"/>
        <v>422.27048598000005</v>
      </c>
      <c r="K590" s="70">
        <v>1.0640000000000001</v>
      </c>
      <c r="L590" s="44">
        <f t="shared" si="195"/>
        <v>396.87075750000002</v>
      </c>
      <c r="M590" s="47">
        <v>1.07</v>
      </c>
      <c r="N590" s="44">
        <f t="shared" si="189"/>
        <v>370.90724999999998</v>
      </c>
      <c r="O590" s="70">
        <v>1.075</v>
      </c>
      <c r="P590" s="44">
        <f t="shared" ref="P590:P655" si="202">Q590*R590</f>
        <v>345.03</v>
      </c>
      <c r="Q590" s="70">
        <v>1.085</v>
      </c>
      <c r="R590" s="44">
        <v>318</v>
      </c>
      <c r="S590" s="44">
        <f t="shared" si="199"/>
        <v>317.90000000000003</v>
      </c>
      <c r="T590" s="50">
        <v>1.1000000000000001</v>
      </c>
      <c r="U590" s="44">
        <f t="shared" si="199"/>
        <v>509.59310036890116</v>
      </c>
      <c r="V590" s="203">
        <f t="shared" si="200"/>
        <v>479.84284403851331</v>
      </c>
      <c r="W590" s="266">
        <f t="shared" si="201"/>
        <v>479.84284403851331</v>
      </c>
      <c r="X590" s="206">
        <f>615*106.5%</f>
        <v>654.97500000000002</v>
      </c>
    </row>
    <row r="591" spans="1:24" ht="15" customHeight="1" x14ac:dyDescent="0.2">
      <c r="A591" s="414"/>
      <c r="B591" s="55" t="s">
        <v>454</v>
      </c>
      <c r="C591" s="47">
        <v>85.588618411295997</v>
      </c>
      <c r="D591" s="284"/>
      <c r="E591" s="47">
        <f t="shared" si="196"/>
        <v>90.569876002833425</v>
      </c>
      <c r="F591" s="47">
        <v>254.08</v>
      </c>
      <c r="G591" s="44">
        <v>280</v>
      </c>
      <c r="H591" s="53">
        <f t="shared" si="197"/>
        <v>434.34901535256012</v>
      </c>
      <c r="I591" s="70">
        <v>1.0620000000000001</v>
      </c>
      <c r="J591" s="44">
        <f t="shared" si="198"/>
        <v>408.99153988000006</v>
      </c>
      <c r="K591" s="70">
        <v>1.0640000000000001</v>
      </c>
      <c r="L591" s="44">
        <f t="shared" si="195"/>
        <v>384.39054500000003</v>
      </c>
      <c r="M591" s="47">
        <v>1.07</v>
      </c>
      <c r="N591" s="44">
        <f t="shared" si="189"/>
        <v>359.24349999999998</v>
      </c>
      <c r="O591" s="70">
        <v>1.075</v>
      </c>
      <c r="P591" s="44">
        <f t="shared" si="202"/>
        <v>334.18</v>
      </c>
      <c r="Q591" s="70">
        <v>1.085</v>
      </c>
      <c r="R591" s="44">
        <v>308</v>
      </c>
      <c r="S591" s="44">
        <f t="shared" si="199"/>
        <v>308</v>
      </c>
      <c r="T591" s="50">
        <v>1.1000000000000001</v>
      </c>
      <c r="U591" s="44">
        <f t="shared" si="199"/>
        <v>493.56816010572823</v>
      </c>
      <c r="V591" s="203">
        <f t="shared" si="200"/>
        <v>464.75344642723934</v>
      </c>
      <c r="W591" s="266">
        <f t="shared" si="201"/>
        <v>464.75344642723934</v>
      </c>
      <c r="X591" s="206">
        <f>596*106.5%</f>
        <v>634.74</v>
      </c>
    </row>
    <row r="592" spans="1:24" ht="15" customHeight="1" x14ac:dyDescent="0.2">
      <c r="A592" s="414"/>
      <c r="B592" s="55" t="s">
        <v>981</v>
      </c>
      <c r="C592" s="47">
        <v>99.172020100608037</v>
      </c>
      <c r="D592" s="284"/>
      <c r="E592" s="47">
        <f t="shared" si="196"/>
        <v>104.94383167046342</v>
      </c>
      <c r="F592" s="47">
        <v>294.56</v>
      </c>
      <c r="G592" s="44">
        <v>325</v>
      </c>
      <c r="H592" s="53">
        <f t="shared" si="197"/>
        <v>504.86021914356013</v>
      </c>
      <c r="I592" s="70">
        <v>1.0620000000000001</v>
      </c>
      <c r="J592" s="44">
        <f t="shared" si="198"/>
        <v>475.3862703800001</v>
      </c>
      <c r="K592" s="70">
        <v>1.0640000000000001</v>
      </c>
      <c r="L592" s="44">
        <f t="shared" si="195"/>
        <v>446.79160750000005</v>
      </c>
      <c r="M592" s="47">
        <v>1.07</v>
      </c>
      <c r="N592" s="44">
        <f t="shared" si="189"/>
        <v>417.56225000000001</v>
      </c>
      <c r="O592" s="70">
        <v>1.075</v>
      </c>
      <c r="P592" s="44">
        <f t="shared" si="202"/>
        <v>388.43</v>
      </c>
      <c r="Q592" s="70">
        <v>1.085</v>
      </c>
      <c r="R592" s="44">
        <v>358</v>
      </c>
      <c r="S592" s="44">
        <f t="shared" si="199"/>
        <v>357.50000000000006</v>
      </c>
      <c r="T592" s="50">
        <v>1.1000000000000001</v>
      </c>
      <c r="U592" s="44">
        <f t="shared" si="199"/>
        <v>573.69286142159319</v>
      </c>
      <c r="V592" s="203">
        <f t="shared" si="200"/>
        <v>540.20043448360934</v>
      </c>
      <c r="W592" s="266">
        <f t="shared" si="201"/>
        <v>540.20043448360934</v>
      </c>
      <c r="X592" s="206">
        <f>693*106.5%</f>
        <v>738.04499999999996</v>
      </c>
    </row>
    <row r="593" spans="1:24" ht="15" customHeight="1" x14ac:dyDescent="0.2">
      <c r="A593" s="414"/>
      <c r="B593" s="55" t="s">
        <v>440</v>
      </c>
      <c r="C593" s="47">
        <v>142.14949275945602</v>
      </c>
      <c r="D593" s="284"/>
      <c r="E593" s="47">
        <f t="shared" si="196"/>
        <v>150.42259323805638</v>
      </c>
      <c r="F593" s="47">
        <v>422.08</v>
      </c>
      <c r="G593" s="44">
        <v>464</v>
      </c>
      <c r="H593" s="53">
        <f t="shared" si="197"/>
        <v>719.21427866820022</v>
      </c>
      <c r="I593" s="70">
        <v>1.0620000000000001</v>
      </c>
      <c r="J593" s="44">
        <f t="shared" si="198"/>
        <v>677.22625110000013</v>
      </c>
      <c r="K593" s="70">
        <v>1.0640000000000001</v>
      </c>
      <c r="L593" s="44">
        <f t="shared" si="195"/>
        <v>636.49083750000011</v>
      </c>
      <c r="M593" s="47">
        <v>1.07</v>
      </c>
      <c r="N593" s="44">
        <f t="shared" si="189"/>
        <v>594.85125000000005</v>
      </c>
      <c r="O593" s="70">
        <v>1.075</v>
      </c>
      <c r="P593" s="44">
        <f t="shared" si="202"/>
        <v>553.35</v>
      </c>
      <c r="Q593" s="70">
        <v>1.085</v>
      </c>
      <c r="R593" s="44">
        <v>510</v>
      </c>
      <c r="S593" s="44">
        <f t="shared" si="199"/>
        <v>510.40000000000003</v>
      </c>
      <c r="T593" s="50">
        <v>1.1000000000000001</v>
      </c>
      <c r="U593" s="44">
        <f t="shared" si="199"/>
        <v>817.27195342182279</v>
      </c>
      <c r="V593" s="203">
        <f t="shared" si="200"/>
        <v>769.55927817497434</v>
      </c>
      <c r="W593" s="266">
        <f t="shared" si="201"/>
        <v>769.55927817497434</v>
      </c>
      <c r="X593" s="206">
        <f>987*106.5%</f>
        <v>1051.155</v>
      </c>
    </row>
    <row r="594" spans="1:24" ht="15" customHeight="1" x14ac:dyDescent="0.2">
      <c r="A594" s="414"/>
      <c r="B594" s="55" t="s">
        <v>568</v>
      </c>
      <c r="C594" s="47"/>
      <c r="D594" s="284"/>
      <c r="E594" s="47"/>
      <c r="F594" s="47"/>
      <c r="G594" s="44"/>
      <c r="H594" s="53">
        <f t="shared" ref="H594" si="203">J594*I594</f>
        <v>365.22853945200006</v>
      </c>
      <c r="I594" s="70">
        <v>1.0620000000000001</v>
      </c>
      <c r="J594" s="44">
        <f t="shared" ref="J594" si="204">K594*L594</f>
        <v>343.90634600000004</v>
      </c>
      <c r="K594" s="70">
        <v>1.0640000000000001</v>
      </c>
      <c r="L594" s="44">
        <f t="shared" ref="L594" si="205">M594*N594</f>
        <v>323.22025000000002</v>
      </c>
      <c r="M594" s="47">
        <v>1.07</v>
      </c>
      <c r="N594" s="44">
        <f t="shared" ref="N594" si="206">O594*P594</f>
        <v>302.07499999999999</v>
      </c>
      <c r="O594" s="70">
        <v>1.075</v>
      </c>
      <c r="P594" s="79">
        <v>281</v>
      </c>
      <c r="Q594" s="70">
        <v>1.085</v>
      </c>
      <c r="R594" s="79" t="s">
        <v>649</v>
      </c>
      <c r="S594" s="44"/>
      <c r="T594" s="50"/>
      <c r="U594" s="44"/>
      <c r="V594" s="203">
        <f t="shared" ref="V594" si="207">H594*107%</f>
        <v>390.79453721364007</v>
      </c>
      <c r="W594" s="266">
        <f t="shared" ref="W594" si="208">V594</f>
        <v>390.79453721364007</v>
      </c>
      <c r="X594" s="206">
        <f>501*106.5%</f>
        <v>533.56499999999994</v>
      </c>
    </row>
    <row r="595" spans="1:24" ht="15" customHeight="1" x14ac:dyDescent="0.2">
      <c r="A595" s="415"/>
      <c r="B595" s="55" t="s">
        <v>948</v>
      </c>
      <c r="C595" s="47"/>
      <c r="D595" s="284"/>
      <c r="E595" s="47"/>
      <c r="F595" s="47"/>
      <c r="G595" s="44"/>
      <c r="H595" s="53">
        <f t="shared" si="197"/>
        <v>365.22853945200006</v>
      </c>
      <c r="I595" s="70">
        <v>1.0620000000000001</v>
      </c>
      <c r="J595" s="44">
        <f t="shared" si="198"/>
        <v>343.90634600000004</v>
      </c>
      <c r="K595" s="70">
        <v>1.0640000000000001</v>
      </c>
      <c r="L595" s="44">
        <f t="shared" si="195"/>
        <v>323.22025000000002</v>
      </c>
      <c r="M595" s="47">
        <v>1.07</v>
      </c>
      <c r="N595" s="44">
        <f t="shared" si="189"/>
        <v>302.07499999999999</v>
      </c>
      <c r="O595" s="70">
        <v>1.075</v>
      </c>
      <c r="P595" s="79">
        <v>281</v>
      </c>
      <c r="Q595" s="70">
        <v>1.085</v>
      </c>
      <c r="R595" s="79" t="s">
        <v>649</v>
      </c>
      <c r="S595" s="44"/>
      <c r="T595" s="50"/>
      <c r="U595" s="44"/>
      <c r="V595" s="203">
        <f t="shared" si="200"/>
        <v>390.79453721364007</v>
      </c>
      <c r="W595" s="266">
        <f t="shared" si="201"/>
        <v>390.79453721364007</v>
      </c>
      <c r="X595" s="206">
        <f>3078*106.5%</f>
        <v>3278.0699999999997</v>
      </c>
    </row>
    <row r="596" spans="1:24" ht="15" customHeight="1" x14ac:dyDescent="0.25">
      <c r="A596" s="362" t="s">
        <v>239</v>
      </c>
      <c r="B596" s="345" t="s">
        <v>269</v>
      </c>
      <c r="C596" s="346"/>
      <c r="D596" s="346"/>
      <c r="E596" s="346"/>
      <c r="F596" s="346"/>
      <c r="G596" s="346"/>
      <c r="H596" s="346"/>
      <c r="I596" s="346"/>
      <c r="J596" s="347"/>
      <c r="K596" s="47"/>
      <c r="L596" s="44"/>
      <c r="M596" s="47"/>
      <c r="N596" s="44"/>
      <c r="O596" s="70"/>
      <c r="P596" s="44"/>
      <c r="Q596" s="70"/>
      <c r="R596" s="44"/>
      <c r="S596" s="44"/>
      <c r="T596" s="50"/>
      <c r="U596" s="44"/>
      <c r="V596" s="15"/>
      <c r="X596" s="206"/>
    </row>
    <row r="597" spans="1:24" ht="15" customHeight="1" x14ac:dyDescent="0.2">
      <c r="A597" s="363"/>
      <c r="B597" s="33" t="s">
        <v>455</v>
      </c>
      <c r="C597" s="47">
        <v>174.22507668384006</v>
      </c>
      <c r="D597" s="284"/>
      <c r="E597" s="47">
        <f t="shared" ref="E597:E602" si="209">C597*1.0582</f>
        <v>184.36497614683955</v>
      </c>
      <c r="F597" s="47">
        <v>517.44000000000005</v>
      </c>
      <c r="G597" s="44">
        <v>569</v>
      </c>
      <c r="H597" s="53">
        <f t="shared" ref="H597:H602" si="210">J597*I597</f>
        <v>882.80027146332009</v>
      </c>
      <c r="I597" s="70">
        <v>1.0620000000000001</v>
      </c>
      <c r="J597" s="44">
        <f t="shared" ref="J597:J602" si="211">K597*L597</f>
        <v>831.26202585999999</v>
      </c>
      <c r="K597" s="70">
        <v>1.0640000000000001</v>
      </c>
      <c r="L597" s="44">
        <f t="shared" si="195"/>
        <v>781.26130249999994</v>
      </c>
      <c r="M597" s="47">
        <v>1.07</v>
      </c>
      <c r="N597" s="44">
        <f t="shared" si="189"/>
        <v>730.1507499999999</v>
      </c>
      <c r="O597" s="70">
        <v>1.075</v>
      </c>
      <c r="P597" s="44">
        <f t="shared" si="202"/>
        <v>679.20999999999992</v>
      </c>
      <c r="Q597" s="70">
        <v>1.085</v>
      </c>
      <c r="R597" s="44">
        <v>626</v>
      </c>
      <c r="S597" s="44">
        <f t="shared" ref="S597:U602" si="212">G597*T597</f>
        <v>625.90000000000009</v>
      </c>
      <c r="T597" s="50">
        <v>1.1000000000000001</v>
      </c>
      <c r="U597" s="44">
        <f t="shared" si="212"/>
        <v>1003.1612604746292</v>
      </c>
      <c r="V597" s="203">
        <f t="shared" ref="V597:V602" si="213">H597*107%</f>
        <v>944.59629046575253</v>
      </c>
      <c r="W597" s="266">
        <f t="shared" ref="W597:W602" si="214">V597</f>
        <v>944.59629046575253</v>
      </c>
      <c r="X597" s="206">
        <f>1211*106.5%</f>
        <v>1289.7149999999999</v>
      </c>
    </row>
    <row r="598" spans="1:24" ht="15" customHeight="1" x14ac:dyDescent="0.2">
      <c r="A598" s="363"/>
      <c r="B598" s="33" t="s">
        <v>456</v>
      </c>
      <c r="C598" s="47">
        <v>174.22507668384006</v>
      </c>
      <c r="D598" s="284"/>
      <c r="E598" s="47">
        <f t="shared" si="209"/>
        <v>184.36497614683955</v>
      </c>
      <c r="F598" s="47">
        <v>517.44000000000005</v>
      </c>
      <c r="G598" s="44">
        <v>569</v>
      </c>
      <c r="H598" s="53">
        <f t="shared" si="210"/>
        <v>882.65924905573831</v>
      </c>
      <c r="I598" s="70">
        <v>1.0620000000000001</v>
      </c>
      <c r="J598" s="44">
        <f t="shared" si="211"/>
        <v>831.12923639900021</v>
      </c>
      <c r="K598" s="70">
        <v>1.0640000000000001</v>
      </c>
      <c r="L598" s="44">
        <f t="shared" si="195"/>
        <v>781.1365003750002</v>
      </c>
      <c r="M598" s="47">
        <v>1.07</v>
      </c>
      <c r="N598" s="44">
        <f t="shared" si="189"/>
        <v>730.03411250000011</v>
      </c>
      <c r="O598" s="70">
        <v>1.075</v>
      </c>
      <c r="P598" s="44">
        <f t="shared" si="202"/>
        <v>679.1015000000001</v>
      </c>
      <c r="Q598" s="70">
        <v>1.085</v>
      </c>
      <c r="R598" s="44">
        <f>S598</f>
        <v>625.90000000000009</v>
      </c>
      <c r="S598" s="44">
        <f t="shared" si="212"/>
        <v>625.90000000000009</v>
      </c>
      <c r="T598" s="50">
        <v>1.1000000000000001</v>
      </c>
      <c r="U598" s="44">
        <f t="shared" si="212"/>
        <v>1003.0010110719978</v>
      </c>
      <c r="V598" s="203">
        <f t="shared" si="213"/>
        <v>944.44539648964007</v>
      </c>
      <c r="W598" s="266">
        <f t="shared" si="214"/>
        <v>944.44539648964007</v>
      </c>
      <c r="X598" s="206">
        <f>1210*106.5%</f>
        <v>1288.6499999999999</v>
      </c>
    </row>
    <row r="599" spans="1:24" ht="15" customHeight="1" x14ac:dyDescent="0.2">
      <c r="A599" s="363"/>
      <c r="B599" s="33" t="s">
        <v>457</v>
      </c>
      <c r="C599" s="47">
        <v>174.22507668384006</v>
      </c>
      <c r="D599" s="284"/>
      <c r="E599" s="47">
        <f t="shared" si="209"/>
        <v>184.36497614683955</v>
      </c>
      <c r="F599" s="47">
        <v>517.44000000000005</v>
      </c>
      <c r="G599" s="44">
        <v>569</v>
      </c>
      <c r="H599" s="53">
        <f t="shared" si="210"/>
        <v>882.65924905573831</v>
      </c>
      <c r="I599" s="70">
        <v>1.0620000000000001</v>
      </c>
      <c r="J599" s="44">
        <f t="shared" si="211"/>
        <v>831.12923639900021</v>
      </c>
      <c r="K599" s="70">
        <v>1.0640000000000001</v>
      </c>
      <c r="L599" s="44">
        <f t="shared" si="195"/>
        <v>781.1365003750002</v>
      </c>
      <c r="M599" s="47">
        <v>1.07</v>
      </c>
      <c r="N599" s="44">
        <f t="shared" si="189"/>
        <v>730.03411250000011</v>
      </c>
      <c r="O599" s="70">
        <v>1.075</v>
      </c>
      <c r="P599" s="44">
        <f t="shared" si="202"/>
        <v>679.1015000000001</v>
      </c>
      <c r="Q599" s="70">
        <v>1.085</v>
      </c>
      <c r="R599" s="44">
        <f>S599</f>
        <v>625.90000000000009</v>
      </c>
      <c r="S599" s="44">
        <f t="shared" si="212"/>
        <v>625.90000000000009</v>
      </c>
      <c r="T599" s="50">
        <v>1.1000000000000001</v>
      </c>
      <c r="U599" s="44">
        <f t="shared" si="212"/>
        <v>1003.0010110719978</v>
      </c>
      <c r="V599" s="203">
        <f t="shared" si="213"/>
        <v>944.44539648964007</v>
      </c>
      <c r="W599" s="266">
        <f t="shared" si="214"/>
        <v>944.44539648964007</v>
      </c>
      <c r="X599" s="206">
        <f t="shared" ref="X599:X602" si="215">1210*106.5%</f>
        <v>1288.6499999999999</v>
      </c>
    </row>
    <row r="600" spans="1:24" ht="15" customHeight="1" x14ac:dyDescent="0.2">
      <c r="A600" s="363"/>
      <c r="B600" s="33" t="s">
        <v>458</v>
      </c>
      <c r="C600" s="47">
        <v>174.22507668384006</v>
      </c>
      <c r="D600" s="284"/>
      <c r="E600" s="47">
        <f t="shared" si="209"/>
        <v>184.36497614683955</v>
      </c>
      <c r="F600" s="47">
        <v>517.44000000000005</v>
      </c>
      <c r="G600" s="44">
        <v>569</v>
      </c>
      <c r="H600" s="53">
        <f t="shared" si="210"/>
        <v>882.65924905573831</v>
      </c>
      <c r="I600" s="70">
        <v>1.0620000000000001</v>
      </c>
      <c r="J600" s="44">
        <f t="shared" si="211"/>
        <v>831.12923639900021</v>
      </c>
      <c r="K600" s="70">
        <v>1.0640000000000001</v>
      </c>
      <c r="L600" s="44">
        <f t="shared" si="195"/>
        <v>781.1365003750002</v>
      </c>
      <c r="M600" s="47">
        <v>1.07</v>
      </c>
      <c r="N600" s="44">
        <f t="shared" si="189"/>
        <v>730.03411250000011</v>
      </c>
      <c r="O600" s="70">
        <v>1.075</v>
      </c>
      <c r="P600" s="44">
        <f t="shared" si="202"/>
        <v>679.1015000000001</v>
      </c>
      <c r="Q600" s="70">
        <v>1.085</v>
      </c>
      <c r="R600" s="44">
        <f>S600</f>
        <v>625.90000000000009</v>
      </c>
      <c r="S600" s="44">
        <f t="shared" si="212"/>
        <v>625.90000000000009</v>
      </c>
      <c r="T600" s="50">
        <v>1.1000000000000001</v>
      </c>
      <c r="U600" s="44">
        <f t="shared" si="212"/>
        <v>1003.0010110719978</v>
      </c>
      <c r="V600" s="203">
        <f t="shared" si="213"/>
        <v>944.44539648964007</v>
      </c>
      <c r="W600" s="266">
        <f t="shared" si="214"/>
        <v>944.44539648964007</v>
      </c>
      <c r="X600" s="206">
        <f t="shared" si="215"/>
        <v>1288.6499999999999</v>
      </c>
    </row>
    <row r="601" spans="1:24" ht="15" customHeight="1" x14ac:dyDescent="0.2">
      <c r="A601" s="363"/>
      <c r="B601" s="55" t="s">
        <v>459</v>
      </c>
      <c r="C601" s="47">
        <v>174.22507668384006</v>
      </c>
      <c r="D601" s="284"/>
      <c r="E601" s="47">
        <f t="shared" si="209"/>
        <v>184.36497614683955</v>
      </c>
      <c r="F601" s="47">
        <v>517.44000000000005</v>
      </c>
      <c r="G601" s="44">
        <v>569</v>
      </c>
      <c r="H601" s="53">
        <f t="shared" si="210"/>
        <v>882.65924905573831</v>
      </c>
      <c r="I601" s="70">
        <v>1.0620000000000001</v>
      </c>
      <c r="J601" s="44">
        <f t="shared" si="211"/>
        <v>831.12923639900021</v>
      </c>
      <c r="K601" s="70">
        <v>1.0640000000000001</v>
      </c>
      <c r="L601" s="44">
        <f t="shared" si="195"/>
        <v>781.1365003750002</v>
      </c>
      <c r="M601" s="47">
        <v>1.07</v>
      </c>
      <c r="N601" s="44">
        <f t="shared" si="189"/>
        <v>730.03411250000011</v>
      </c>
      <c r="O601" s="70">
        <v>1.075</v>
      </c>
      <c r="P601" s="44">
        <f t="shared" si="202"/>
        <v>679.1015000000001</v>
      </c>
      <c r="Q601" s="70">
        <v>1.085</v>
      </c>
      <c r="R601" s="44">
        <f>S601</f>
        <v>625.90000000000009</v>
      </c>
      <c r="S601" s="44">
        <f t="shared" si="212"/>
        <v>625.90000000000009</v>
      </c>
      <c r="T601" s="50">
        <v>1.1000000000000001</v>
      </c>
      <c r="U601" s="44">
        <f t="shared" si="212"/>
        <v>1003.0010110719978</v>
      </c>
      <c r="V601" s="203">
        <f t="shared" si="213"/>
        <v>944.44539648964007</v>
      </c>
      <c r="W601" s="266">
        <f t="shared" si="214"/>
        <v>944.44539648964007</v>
      </c>
      <c r="X601" s="206">
        <f t="shared" si="215"/>
        <v>1288.6499999999999</v>
      </c>
    </row>
    <row r="602" spans="1:24" ht="15" customHeight="1" x14ac:dyDescent="0.2">
      <c r="A602" s="363"/>
      <c r="B602" s="55" t="s">
        <v>460</v>
      </c>
      <c r="C602" s="47">
        <v>174.22507668384006</v>
      </c>
      <c r="D602" s="284"/>
      <c r="E602" s="47">
        <f t="shared" si="209"/>
        <v>184.36497614683955</v>
      </c>
      <c r="F602" s="47">
        <v>517.44000000000005</v>
      </c>
      <c r="G602" s="44">
        <v>569</v>
      </c>
      <c r="H602" s="53">
        <f t="shared" si="210"/>
        <v>882.65924905573831</v>
      </c>
      <c r="I602" s="70">
        <v>1.0620000000000001</v>
      </c>
      <c r="J602" s="44">
        <f t="shared" si="211"/>
        <v>831.12923639900021</v>
      </c>
      <c r="K602" s="70">
        <v>1.0640000000000001</v>
      </c>
      <c r="L602" s="44">
        <f t="shared" si="195"/>
        <v>781.1365003750002</v>
      </c>
      <c r="M602" s="47">
        <v>1.07</v>
      </c>
      <c r="N602" s="44">
        <f t="shared" si="189"/>
        <v>730.03411250000011</v>
      </c>
      <c r="O602" s="70">
        <v>1.075</v>
      </c>
      <c r="P602" s="44">
        <f t="shared" si="202"/>
        <v>679.1015000000001</v>
      </c>
      <c r="Q602" s="70">
        <v>1.085</v>
      </c>
      <c r="R602" s="44">
        <f>S602</f>
        <v>625.90000000000009</v>
      </c>
      <c r="S602" s="44">
        <f t="shared" si="212"/>
        <v>625.90000000000009</v>
      </c>
      <c r="T602" s="50">
        <v>1.1000000000000001</v>
      </c>
      <c r="U602" s="44">
        <f t="shared" si="212"/>
        <v>1003.0010110719978</v>
      </c>
      <c r="V602" s="203">
        <f t="shared" si="213"/>
        <v>944.44539648964007</v>
      </c>
      <c r="W602" s="266">
        <f t="shared" si="214"/>
        <v>944.44539648964007</v>
      </c>
      <c r="X602" s="206">
        <f t="shared" si="215"/>
        <v>1288.6499999999999</v>
      </c>
    </row>
    <row r="603" spans="1:24" ht="15.6" customHeight="1" x14ac:dyDescent="0.25">
      <c r="A603" s="362" t="s">
        <v>240</v>
      </c>
      <c r="B603" s="345" t="s">
        <v>366</v>
      </c>
      <c r="C603" s="346"/>
      <c r="D603" s="346"/>
      <c r="E603" s="346"/>
      <c r="F603" s="346"/>
      <c r="G603" s="346"/>
      <c r="H603" s="346"/>
      <c r="I603" s="346"/>
      <c r="J603" s="347"/>
      <c r="K603" s="47"/>
      <c r="L603" s="44"/>
      <c r="M603" s="47"/>
      <c r="N603" s="44"/>
      <c r="O603" s="70"/>
      <c r="P603" s="44"/>
      <c r="Q603" s="70"/>
      <c r="R603" s="44"/>
      <c r="S603" s="44"/>
      <c r="T603" s="50">
        <v>1.1000000000000001</v>
      </c>
      <c r="U603" s="44"/>
      <c r="V603" s="15"/>
      <c r="X603" s="206"/>
    </row>
    <row r="604" spans="1:24" ht="15.6" customHeight="1" x14ac:dyDescent="0.2">
      <c r="A604" s="363"/>
      <c r="B604" s="33" t="s">
        <v>461</v>
      </c>
      <c r="C604" s="47">
        <v>213.20225952480004</v>
      </c>
      <c r="D604" s="284"/>
      <c r="E604" s="47">
        <f t="shared" ref="E604:E612" si="216">C604*1.0582</f>
        <v>225.61063102914341</v>
      </c>
      <c r="F604" s="47">
        <v>633.22</v>
      </c>
      <c r="G604" s="44">
        <v>696</v>
      </c>
      <c r="H604" s="53">
        <f t="shared" ref="H604:H613" si="217">J604*I604</f>
        <v>1079.6675524477923</v>
      </c>
      <c r="I604" s="70">
        <v>1.0620000000000001</v>
      </c>
      <c r="J604" s="44">
        <f t="shared" ref="J604:J612" si="218">K604*L604</f>
        <v>1016.6361134160002</v>
      </c>
      <c r="K604" s="70">
        <v>1.0640000000000001</v>
      </c>
      <c r="L604" s="44">
        <f t="shared" si="195"/>
        <v>955.48506900000007</v>
      </c>
      <c r="M604" s="47">
        <v>1.07</v>
      </c>
      <c r="N604" s="44">
        <f t="shared" si="189"/>
        <v>892.97670000000005</v>
      </c>
      <c r="O604" s="70">
        <v>1.075</v>
      </c>
      <c r="P604" s="44">
        <f t="shared" si="202"/>
        <v>830.67600000000004</v>
      </c>
      <c r="Q604" s="70">
        <v>1.085</v>
      </c>
      <c r="R604" s="44">
        <f>S604</f>
        <v>765.6</v>
      </c>
      <c r="S604" s="44">
        <f t="shared" ref="S604:U612" si="219">G604*T604</f>
        <v>765.6</v>
      </c>
      <c r="T604" s="50">
        <v>1.1000000000000001</v>
      </c>
      <c r="U604" s="44">
        <f t="shared" si="219"/>
        <v>1226.8694265485244</v>
      </c>
      <c r="V604" s="203">
        <f t="shared" ref="V604:V613" si="220">H604*107%</f>
        <v>1155.2442811191379</v>
      </c>
      <c r="W604" s="266">
        <f t="shared" ref="W604:W613" si="221">V604</f>
        <v>1155.2442811191379</v>
      </c>
      <c r="X604" s="206">
        <f>1482*106.5%</f>
        <v>1578.33</v>
      </c>
    </row>
    <row r="605" spans="1:24" ht="15.6" customHeight="1" x14ac:dyDescent="0.2">
      <c r="A605" s="363"/>
      <c r="B605" s="33" t="s">
        <v>462</v>
      </c>
      <c r="C605" s="47">
        <v>213.20225952480004</v>
      </c>
      <c r="D605" s="284"/>
      <c r="E605" s="47">
        <f t="shared" si="216"/>
        <v>225.61063102914341</v>
      </c>
      <c r="F605" s="47">
        <v>633.22</v>
      </c>
      <c r="G605" s="44">
        <v>696</v>
      </c>
      <c r="H605" s="53">
        <f t="shared" si="217"/>
        <v>1079.6675524477923</v>
      </c>
      <c r="I605" s="70">
        <v>1.0620000000000001</v>
      </c>
      <c r="J605" s="44">
        <f t="shared" si="218"/>
        <v>1016.6361134160002</v>
      </c>
      <c r="K605" s="70">
        <v>1.0640000000000001</v>
      </c>
      <c r="L605" s="44">
        <f t="shared" si="195"/>
        <v>955.48506900000007</v>
      </c>
      <c r="M605" s="47">
        <v>1.07</v>
      </c>
      <c r="N605" s="44">
        <f t="shared" si="189"/>
        <v>892.97670000000005</v>
      </c>
      <c r="O605" s="70">
        <v>1.075</v>
      </c>
      <c r="P605" s="44">
        <f t="shared" si="202"/>
        <v>830.67600000000004</v>
      </c>
      <c r="Q605" s="70">
        <v>1.085</v>
      </c>
      <c r="R605" s="44">
        <f>S605</f>
        <v>765.6</v>
      </c>
      <c r="S605" s="44">
        <f t="shared" si="219"/>
        <v>765.6</v>
      </c>
      <c r="T605" s="50">
        <v>1.1000000000000001</v>
      </c>
      <c r="U605" s="44">
        <f t="shared" si="219"/>
        <v>1226.8694265485244</v>
      </c>
      <c r="V605" s="203">
        <f t="shared" si="220"/>
        <v>1155.2442811191379</v>
      </c>
      <c r="W605" s="266">
        <f t="shared" si="221"/>
        <v>1155.2442811191379</v>
      </c>
      <c r="X605" s="206">
        <f t="shared" ref="X605:X612" si="222">1482*106.5%</f>
        <v>1578.33</v>
      </c>
    </row>
    <row r="606" spans="1:24" ht="15.6" customHeight="1" x14ac:dyDescent="0.2">
      <c r="A606" s="363"/>
      <c r="B606" s="33" t="s">
        <v>463</v>
      </c>
      <c r="C606" s="47">
        <v>213.20225952480004</v>
      </c>
      <c r="D606" s="284"/>
      <c r="E606" s="47">
        <f t="shared" si="216"/>
        <v>225.61063102914341</v>
      </c>
      <c r="F606" s="47">
        <v>633.22</v>
      </c>
      <c r="G606" s="44">
        <v>696</v>
      </c>
      <c r="H606" s="53">
        <f t="shared" si="217"/>
        <v>1080.2316420781201</v>
      </c>
      <c r="I606" s="70">
        <v>1.0620000000000001</v>
      </c>
      <c r="J606" s="44">
        <f t="shared" si="218"/>
        <v>1017.1672712600001</v>
      </c>
      <c r="K606" s="70">
        <v>1.0640000000000001</v>
      </c>
      <c r="L606" s="44">
        <f t="shared" si="195"/>
        <v>955.98427750000008</v>
      </c>
      <c r="M606" s="47">
        <v>1.07</v>
      </c>
      <c r="N606" s="44">
        <f t="shared" si="189"/>
        <v>893.44325000000003</v>
      </c>
      <c r="O606" s="70">
        <v>1.075</v>
      </c>
      <c r="P606" s="44">
        <f t="shared" si="202"/>
        <v>831.11</v>
      </c>
      <c r="Q606" s="70">
        <v>1.085</v>
      </c>
      <c r="R606" s="44">
        <v>766</v>
      </c>
      <c r="S606" s="44">
        <f t="shared" si="219"/>
        <v>765.6</v>
      </c>
      <c r="T606" s="50">
        <v>1.1000000000000001</v>
      </c>
      <c r="U606" s="44">
        <f t="shared" si="219"/>
        <v>1227.5104241590511</v>
      </c>
      <c r="V606" s="203">
        <f t="shared" si="220"/>
        <v>1155.8478570235886</v>
      </c>
      <c r="W606" s="266">
        <f t="shared" si="221"/>
        <v>1155.8478570235886</v>
      </c>
      <c r="X606" s="206">
        <f t="shared" si="222"/>
        <v>1578.33</v>
      </c>
    </row>
    <row r="607" spans="1:24" ht="15.6" customHeight="1" x14ac:dyDescent="0.2">
      <c r="A607" s="363"/>
      <c r="B607" s="33" t="s">
        <v>464</v>
      </c>
      <c r="C607" s="47">
        <v>213.20225952480004</v>
      </c>
      <c r="D607" s="284"/>
      <c r="E607" s="47">
        <f t="shared" si="216"/>
        <v>225.61063102914341</v>
      </c>
      <c r="F607" s="47">
        <v>633.22</v>
      </c>
      <c r="G607" s="44">
        <v>696</v>
      </c>
      <c r="H607" s="53">
        <f t="shared" si="217"/>
        <v>1079.6675524477923</v>
      </c>
      <c r="I607" s="70">
        <v>1.0620000000000001</v>
      </c>
      <c r="J607" s="44">
        <f t="shared" si="218"/>
        <v>1016.6361134160002</v>
      </c>
      <c r="K607" s="70">
        <v>1.0640000000000001</v>
      </c>
      <c r="L607" s="44">
        <f t="shared" si="195"/>
        <v>955.48506900000007</v>
      </c>
      <c r="M607" s="47">
        <v>1.07</v>
      </c>
      <c r="N607" s="44">
        <f t="shared" si="189"/>
        <v>892.97670000000005</v>
      </c>
      <c r="O607" s="70">
        <v>1.075</v>
      </c>
      <c r="P607" s="44">
        <f t="shared" si="202"/>
        <v>830.67600000000004</v>
      </c>
      <c r="Q607" s="70">
        <v>1.085</v>
      </c>
      <c r="R607" s="44">
        <f t="shared" ref="R607:R612" si="223">S607</f>
        <v>765.6</v>
      </c>
      <c r="S607" s="44">
        <f t="shared" si="219"/>
        <v>765.6</v>
      </c>
      <c r="T607" s="50">
        <v>1.1000000000000001</v>
      </c>
      <c r="U607" s="44">
        <f t="shared" si="219"/>
        <v>1226.8694265485244</v>
      </c>
      <c r="V607" s="203">
        <f t="shared" si="220"/>
        <v>1155.2442811191379</v>
      </c>
      <c r="W607" s="266">
        <f t="shared" si="221"/>
        <v>1155.2442811191379</v>
      </c>
      <c r="X607" s="206">
        <f t="shared" si="222"/>
        <v>1578.33</v>
      </c>
    </row>
    <row r="608" spans="1:24" ht="15.6" customHeight="1" x14ac:dyDescent="0.2">
      <c r="A608" s="363"/>
      <c r="B608" s="33" t="s">
        <v>465</v>
      </c>
      <c r="C608" s="47">
        <v>213.20225952480004</v>
      </c>
      <c r="D608" s="284"/>
      <c r="E608" s="47">
        <f t="shared" si="216"/>
        <v>225.61063102914341</v>
      </c>
      <c r="F608" s="47">
        <v>633.22</v>
      </c>
      <c r="G608" s="44">
        <v>696</v>
      </c>
      <c r="H608" s="53">
        <f t="shared" si="217"/>
        <v>1079.6675524477923</v>
      </c>
      <c r="I608" s="70">
        <v>1.0620000000000001</v>
      </c>
      <c r="J608" s="44">
        <f t="shared" si="218"/>
        <v>1016.6361134160002</v>
      </c>
      <c r="K608" s="70">
        <v>1.0640000000000001</v>
      </c>
      <c r="L608" s="44">
        <f t="shared" si="195"/>
        <v>955.48506900000007</v>
      </c>
      <c r="M608" s="47">
        <v>1.07</v>
      </c>
      <c r="N608" s="44">
        <f t="shared" si="189"/>
        <v>892.97670000000005</v>
      </c>
      <c r="O608" s="70">
        <v>1.075</v>
      </c>
      <c r="P608" s="44">
        <f t="shared" si="202"/>
        <v>830.67600000000004</v>
      </c>
      <c r="Q608" s="70">
        <v>1.085</v>
      </c>
      <c r="R608" s="44">
        <f t="shared" si="223"/>
        <v>765.6</v>
      </c>
      <c r="S608" s="44">
        <f t="shared" si="219"/>
        <v>765.6</v>
      </c>
      <c r="T608" s="50">
        <v>1.1000000000000001</v>
      </c>
      <c r="U608" s="44">
        <f t="shared" si="219"/>
        <v>1226.8694265485244</v>
      </c>
      <c r="V608" s="203">
        <f t="shared" si="220"/>
        <v>1155.2442811191379</v>
      </c>
      <c r="W608" s="266">
        <f t="shared" si="221"/>
        <v>1155.2442811191379</v>
      </c>
      <c r="X608" s="206">
        <f t="shared" si="222"/>
        <v>1578.33</v>
      </c>
    </row>
    <row r="609" spans="1:24" x14ac:dyDescent="0.2">
      <c r="A609" s="363"/>
      <c r="B609" s="33" t="s">
        <v>466</v>
      </c>
      <c r="C609" s="47">
        <v>213.20225952480004</v>
      </c>
      <c r="D609" s="284"/>
      <c r="E609" s="47">
        <f t="shared" si="216"/>
        <v>225.61063102914341</v>
      </c>
      <c r="F609" s="47">
        <v>633.22</v>
      </c>
      <c r="G609" s="44">
        <v>696</v>
      </c>
      <c r="H609" s="53">
        <f t="shared" si="217"/>
        <v>1079.6675524477923</v>
      </c>
      <c r="I609" s="70">
        <v>1.0620000000000001</v>
      </c>
      <c r="J609" s="44">
        <f t="shared" si="218"/>
        <v>1016.6361134160002</v>
      </c>
      <c r="K609" s="70">
        <v>1.0640000000000001</v>
      </c>
      <c r="L609" s="44">
        <f t="shared" si="195"/>
        <v>955.48506900000007</v>
      </c>
      <c r="M609" s="47">
        <v>1.07</v>
      </c>
      <c r="N609" s="44">
        <f t="shared" si="189"/>
        <v>892.97670000000005</v>
      </c>
      <c r="O609" s="70">
        <v>1.075</v>
      </c>
      <c r="P609" s="44">
        <f t="shared" si="202"/>
        <v>830.67600000000004</v>
      </c>
      <c r="Q609" s="70">
        <v>1.085</v>
      </c>
      <c r="R609" s="44">
        <f t="shared" si="223"/>
        <v>765.6</v>
      </c>
      <c r="S609" s="44">
        <f t="shared" si="219"/>
        <v>765.6</v>
      </c>
      <c r="T609" s="50">
        <v>1.1000000000000001</v>
      </c>
      <c r="U609" s="44">
        <f t="shared" si="219"/>
        <v>1226.8694265485244</v>
      </c>
      <c r="V609" s="203">
        <f t="shared" si="220"/>
        <v>1155.2442811191379</v>
      </c>
      <c r="W609" s="266">
        <f t="shared" si="221"/>
        <v>1155.2442811191379</v>
      </c>
      <c r="X609" s="206">
        <f t="shared" si="222"/>
        <v>1578.33</v>
      </c>
    </row>
    <row r="610" spans="1:24" x14ac:dyDescent="0.2">
      <c r="A610" s="363"/>
      <c r="B610" s="33" t="s">
        <v>467</v>
      </c>
      <c r="C610" s="47">
        <v>213.20225952480004</v>
      </c>
      <c r="D610" s="284"/>
      <c r="E610" s="47">
        <f t="shared" si="216"/>
        <v>225.61063102914341</v>
      </c>
      <c r="F610" s="47">
        <v>633.22</v>
      </c>
      <c r="G610" s="44">
        <v>696</v>
      </c>
      <c r="H610" s="53">
        <f t="shared" si="217"/>
        <v>1079.6675524477923</v>
      </c>
      <c r="I610" s="70">
        <v>1.0620000000000001</v>
      </c>
      <c r="J610" s="44">
        <f t="shared" si="218"/>
        <v>1016.6361134160002</v>
      </c>
      <c r="K610" s="70">
        <v>1.0640000000000001</v>
      </c>
      <c r="L610" s="44">
        <f t="shared" si="195"/>
        <v>955.48506900000007</v>
      </c>
      <c r="M610" s="47">
        <v>1.07</v>
      </c>
      <c r="N610" s="44">
        <f t="shared" si="189"/>
        <v>892.97670000000005</v>
      </c>
      <c r="O610" s="70">
        <v>1.075</v>
      </c>
      <c r="P610" s="44">
        <f t="shared" si="202"/>
        <v>830.67600000000004</v>
      </c>
      <c r="Q610" s="70">
        <v>1.085</v>
      </c>
      <c r="R610" s="44">
        <f t="shared" si="223"/>
        <v>765.6</v>
      </c>
      <c r="S610" s="44">
        <f t="shared" si="219"/>
        <v>765.6</v>
      </c>
      <c r="T610" s="50">
        <v>1.1000000000000001</v>
      </c>
      <c r="U610" s="44">
        <f t="shared" si="219"/>
        <v>1226.8694265485244</v>
      </c>
      <c r="V610" s="203">
        <f t="shared" si="220"/>
        <v>1155.2442811191379</v>
      </c>
      <c r="W610" s="266">
        <f t="shared" si="221"/>
        <v>1155.2442811191379</v>
      </c>
      <c r="X610" s="206">
        <f t="shared" si="222"/>
        <v>1578.33</v>
      </c>
    </row>
    <row r="611" spans="1:24" x14ac:dyDescent="0.2">
      <c r="A611" s="363"/>
      <c r="B611" s="33" t="s">
        <v>468</v>
      </c>
      <c r="C611" s="47">
        <v>213.20225952480004</v>
      </c>
      <c r="D611" s="284"/>
      <c r="E611" s="47">
        <f t="shared" si="216"/>
        <v>225.61063102914341</v>
      </c>
      <c r="F611" s="47">
        <v>633.22</v>
      </c>
      <c r="G611" s="44">
        <v>696</v>
      </c>
      <c r="H611" s="53">
        <f t="shared" si="217"/>
        <v>1079.6675524477923</v>
      </c>
      <c r="I611" s="70">
        <v>1.0620000000000001</v>
      </c>
      <c r="J611" s="44">
        <f t="shared" si="218"/>
        <v>1016.6361134160002</v>
      </c>
      <c r="K611" s="70">
        <v>1.0640000000000001</v>
      </c>
      <c r="L611" s="44">
        <f t="shared" si="195"/>
        <v>955.48506900000007</v>
      </c>
      <c r="M611" s="47">
        <v>1.07</v>
      </c>
      <c r="N611" s="44">
        <f t="shared" si="189"/>
        <v>892.97670000000005</v>
      </c>
      <c r="O611" s="70">
        <v>1.075</v>
      </c>
      <c r="P611" s="44">
        <f t="shared" si="202"/>
        <v>830.67600000000004</v>
      </c>
      <c r="Q611" s="70">
        <v>1.085</v>
      </c>
      <c r="R611" s="44">
        <f t="shared" si="223"/>
        <v>765.6</v>
      </c>
      <c r="S611" s="44">
        <f t="shared" si="219"/>
        <v>765.6</v>
      </c>
      <c r="T611" s="50">
        <v>1.1000000000000001</v>
      </c>
      <c r="U611" s="44">
        <f t="shared" si="219"/>
        <v>1226.8694265485244</v>
      </c>
      <c r="V611" s="203">
        <f t="shared" si="220"/>
        <v>1155.2442811191379</v>
      </c>
      <c r="W611" s="266">
        <f t="shared" si="221"/>
        <v>1155.2442811191379</v>
      </c>
      <c r="X611" s="206">
        <f t="shared" si="222"/>
        <v>1578.33</v>
      </c>
    </row>
    <row r="612" spans="1:24" x14ac:dyDescent="0.2">
      <c r="A612" s="363"/>
      <c r="B612" s="33" t="s">
        <v>469</v>
      </c>
      <c r="C612" s="47">
        <v>213.20225952480004</v>
      </c>
      <c r="D612" s="284"/>
      <c r="E612" s="47">
        <f t="shared" si="216"/>
        <v>225.61063102914341</v>
      </c>
      <c r="F612" s="47">
        <v>633.22</v>
      </c>
      <c r="G612" s="44">
        <v>696</v>
      </c>
      <c r="H612" s="53">
        <f t="shared" si="217"/>
        <v>1079.6675524477923</v>
      </c>
      <c r="I612" s="70">
        <v>1.0620000000000001</v>
      </c>
      <c r="J612" s="44">
        <f t="shared" si="218"/>
        <v>1016.6361134160002</v>
      </c>
      <c r="K612" s="70">
        <v>1.0640000000000001</v>
      </c>
      <c r="L612" s="44">
        <f t="shared" si="195"/>
        <v>955.48506900000007</v>
      </c>
      <c r="M612" s="47">
        <v>1.07</v>
      </c>
      <c r="N612" s="44">
        <f t="shared" si="189"/>
        <v>892.97670000000005</v>
      </c>
      <c r="O612" s="70">
        <v>1.075</v>
      </c>
      <c r="P612" s="44">
        <f t="shared" si="202"/>
        <v>830.67600000000004</v>
      </c>
      <c r="Q612" s="70">
        <v>1.085</v>
      </c>
      <c r="R612" s="44">
        <f t="shared" si="223"/>
        <v>765.6</v>
      </c>
      <c r="S612" s="44">
        <f t="shared" si="219"/>
        <v>765.6</v>
      </c>
      <c r="T612" s="50">
        <v>1.1000000000000001</v>
      </c>
      <c r="U612" s="44">
        <f t="shared" si="219"/>
        <v>1226.8694265485244</v>
      </c>
      <c r="V612" s="203">
        <f t="shared" si="220"/>
        <v>1155.2442811191379</v>
      </c>
      <c r="W612" s="266">
        <f t="shared" si="221"/>
        <v>1155.2442811191379</v>
      </c>
      <c r="X612" s="206">
        <f t="shared" si="222"/>
        <v>1578.33</v>
      </c>
    </row>
    <row r="613" spans="1:24" x14ac:dyDescent="0.2">
      <c r="A613" s="284" t="s">
        <v>767</v>
      </c>
      <c r="B613" s="33" t="s">
        <v>768</v>
      </c>
      <c r="C613" s="47"/>
      <c r="D613" s="284"/>
      <c r="E613" s="47"/>
      <c r="F613" s="47"/>
      <c r="G613" s="44"/>
      <c r="H613" s="53">
        <f t="shared" si="217"/>
        <v>1593</v>
      </c>
      <c r="I613" s="70">
        <v>1.0620000000000001</v>
      </c>
      <c r="J613" s="44">
        <v>1500</v>
      </c>
      <c r="K613" s="70"/>
      <c r="L613" s="44"/>
      <c r="M613" s="47"/>
      <c r="N613" s="44"/>
      <c r="O613" s="70"/>
      <c r="P613" s="44"/>
      <c r="Q613" s="70"/>
      <c r="R613" s="44"/>
      <c r="S613" s="44"/>
      <c r="T613" s="50"/>
      <c r="U613" s="44"/>
      <c r="V613" s="203">
        <f t="shared" si="220"/>
        <v>1704.51</v>
      </c>
      <c r="W613" s="266">
        <f t="shared" si="221"/>
        <v>1704.51</v>
      </c>
      <c r="X613" s="206">
        <f>2187*106.5%</f>
        <v>2329.1549999999997</v>
      </c>
    </row>
    <row r="614" spans="1:24" s="18" customFormat="1" ht="30" customHeight="1" x14ac:dyDescent="0.25">
      <c r="A614" s="128" t="s">
        <v>236</v>
      </c>
      <c r="B614" s="345" t="s">
        <v>707</v>
      </c>
      <c r="C614" s="346"/>
      <c r="D614" s="346"/>
      <c r="E614" s="346"/>
      <c r="F614" s="346"/>
      <c r="G614" s="346"/>
      <c r="H614" s="346"/>
      <c r="I614" s="346"/>
      <c r="J614" s="347"/>
      <c r="K614" s="47"/>
      <c r="L614" s="44"/>
      <c r="M614" s="47"/>
      <c r="N614" s="44"/>
      <c r="O614" s="70"/>
      <c r="P614" s="44"/>
      <c r="Q614" s="70"/>
      <c r="R614" s="44"/>
      <c r="S614" s="44"/>
      <c r="T614" s="50"/>
      <c r="U614" s="44"/>
      <c r="V614" s="15"/>
      <c r="X614" s="206"/>
    </row>
    <row r="615" spans="1:24" x14ac:dyDescent="0.25">
      <c r="A615" s="362" t="s">
        <v>237</v>
      </c>
      <c r="B615" s="345" t="s">
        <v>367</v>
      </c>
      <c r="C615" s="346"/>
      <c r="D615" s="346"/>
      <c r="E615" s="346"/>
      <c r="F615" s="346"/>
      <c r="G615" s="346"/>
      <c r="H615" s="346"/>
      <c r="I615" s="346"/>
      <c r="J615" s="347"/>
      <c r="K615" s="47"/>
      <c r="L615" s="44"/>
      <c r="M615" s="47"/>
      <c r="N615" s="44"/>
      <c r="O615" s="70"/>
      <c r="P615" s="44"/>
      <c r="Q615" s="70"/>
      <c r="R615" s="44"/>
      <c r="S615" s="44"/>
      <c r="T615" s="50"/>
      <c r="U615" s="44"/>
      <c r="V615" s="15"/>
      <c r="X615" s="206"/>
    </row>
    <row r="616" spans="1:24" x14ac:dyDescent="0.2">
      <c r="A616" s="362"/>
      <c r="B616" s="33" t="s">
        <v>27</v>
      </c>
      <c r="C616" s="87"/>
      <c r="D616" s="67"/>
      <c r="E616" s="87"/>
      <c r="F616" s="47"/>
      <c r="G616" s="44">
        <v>44</v>
      </c>
      <c r="H616" s="53">
        <f t="shared" ref="H616:H621" si="224">J616*I616</f>
        <v>67.690755639360006</v>
      </c>
      <c r="I616" s="70">
        <v>1.0620000000000001</v>
      </c>
      <c r="J616" s="44">
        <f t="shared" ref="J616:J621" si="225">K616*L616</f>
        <v>63.738941280000006</v>
      </c>
      <c r="K616" s="70">
        <v>1.0640000000000001</v>
      </c>
      <c r="L616" s="44">
        <f t="shared" si="195"/>
        <v>59.90502</v>
      </c>
      <c r="M616" s="47">
        <v>1.07</v>
      </c>
      <c r="N616" s="44">
        <f t="shared" si="189"/>
        <v>55.985999999999997</v>
      </c>
      <c r="O616" s="70">
        <v>1.075</v>
      </c>
      <c r="P616" s="44">
        <f t="shared" si="202"/>
        <v>52.08</v>
      </c>
      <c r="Q616" s="70">
        <v>1.085</v>
      </c>
      <c r="R616" s="44">
        <v>48</v>
      </c>
      <c r="S616" s="44">
        <f t="shared" ref="S616:U621" si="226">G616*T616</f>
        <v>48.400000000000006</v>
      </c>
      <c r="T616" s="50">
        <v>1.1000000000000001</v>
      </c>
      <c r="U616" s="44">
        <f t="shared" si="226"/>
        <v>76.919713263230364</v>
      </c>
      <c r="V616" s="203">
        <f t="shared" ref="V616:V621" si="227">H616*107%</f>
        <v>72.429108534115215</v>
      </c>
      <c r="W616" s="266">
        <f t="shared" ref="W616:W621" si="228">V616</f>
        <v>72.429108534115215</v>
      </c>
      <c r="X616" s="206">
        <f>91*106.5%</f>
        <v>96.914999999999992</v>
      </c>
    </row>
    <row r="617" spans="1:24" x14ac:dyDescent="0.2">
      <c r="A617" s="363"/>
      <c r="B617" s="33" t="s">
        <v>470</v>
      </c>
      <c r="C617" s="47">
        <v>8.6306619147840014</v>
      </c>
      <c r="D617" s="284"/>
      <c r="E617" s="47">
        <f>C617*1.0582</f>
        <v>9.1329664382244307</v>
      </c>
      <c r="F617" s="47">
        <v>12.43</v>
      </c>
      <c r="G617" s="44">
        <v>13</v>
      </c>
      <c r="H617" s="53">
        <f t="shared" si="224"/>
        <v>19.743137061480002</v>
      </c>
      <c r="I617" s="70">
        <v>1.0620000000000001</v>
      </c>
      <c r="J617" s="44">
        <f t="shared" si="225"/>
        <v>18.590524540000001</v>
      </c>
      <c r="K617" s="70">
        <v>1.0640000000000001</v>
      </c>
      <c r="L617" s="44">
        <f t="shared" si="195"/>
        <v>17.4722975</v>
      </c>
      <c r="M617" s="47">
        <v>1.07</v>
      </c>
      <c r="N617" s="44">
        <f t="shared" si="189"/>
        <v>16.329249999999998</v>
      </c>
      <c r="O617" s="70">
        <v>1.075</v>
      </c>
      <c r="P617" s="44">
        <f t="shared" si="202"/>
        <v>15.19</v>
      </c>
      <c r="Q617" s="70">
        <v>1.085</v>
      </c>
      <c r="R617" s="44">
        <v>14</v>
      </c>
      <c r="S617" s="44">
        <f t="shared" si="226"/>
        <v>14.3</v>
      </c>
      <c r="T617" s="50">
        <v>1.1000000000000001</v>
      </c>
      <c r="U617" s="44">
        <f t="shared" si="226"/>
        <v>22.434916368442188</v>
      </c>
      <c r="V617" s="203">
        <f t="shared" si="227"/>
        <v>21.125156655783602</v>
      </c>
      <c r="W617" s="266">
        <f t="shared" si="228"/>
        <v>21.125156655783602</v>
      </c>
      <c r="X617" s="206">
        <f>27*106.5%</f>
        <v>28.754999999999999</v>
      </c>
    </row>
    <row r="618" spans="1:24" x14ac:dyDescent="0.2">
      <c r="A618" s="363"/>
      <c r="B618" s="33" t="s">
        <v>471</v>
      </c>
      <c r="C618" s="47">
        <v>38.361753638208008</v>
      </c>
      <c r="D618" s="284"/>
      <c r="E618" s="47">
        <f>C618*1.0582</f>
        <v>40.594407699951716</v>
      </c>
      <c r="F618" s="47">
        <v>219.1</v>
      </c>
      <c r="G618" s="44">
        <v>241</v>
      </c>
      <c r="H618" s="53">
        <f t="shared" si="224"/>
        <v>373.70938009230002</v>
      </c>
      <c r="I618" s="70">
        <v>1.0620000000000001</v>
      </c>
      <c r="J618" s="44">
        <f t="shared" si="225"/>
        <v>351.89207164999999</v>
      </c>
      <c r="K618" s="70">
        <v>1.0640000000000001</v>
      </c>
      <c r="L618" s="44">
        <f t="shared" si="195"/>
        <v>330.72563124999999</v>
      </c>
      <c r="M618" s="47">
        <v>1.07</v>
      </c>
      <c r="N618" s="44">
        <f t="shared" si="189"/>
        <v>309.08937499999996</v>
      </c>
      <c r="O618" s="70">
        <v>1.075</v>
      </c>
      <c r="P618" s="44">
        <f t="shared" si="202"/>
        <v>287.52499999999998</v>
      </c>
      <c r="Q618" s="70">
        <v>1.085</v>
      </c>
      <c r="R618" s="44">
        <v>265</v>
      </c>
      <c r="S618" s="44">
        <f t="shared" si="226"/>
        <v>265.10000000000002</v>
      </c>
      <c r="T618" s="50">
        <v>1.1000000000000001</v>
      </c>
      <c r="U618" s="44">
        <f t="shared" si="226"/>
        <v>424.66091697408422</v>
      </c>
      <c r="V618" s="203">
        <f t="shared" si="227"/>
        <v>399.86903669876102</v>
      </c>
      <c r="W618" s="266">
        <f t="shared" si="228"/>
        <v>399.86903669876102</v>
      </c>
      <c r="X618" s="206">
        <f>512*106.5%</f>
        <v>545.28</v>
      </c>
    </row>
    <row r="619" spans="1:24" x14ac:dyDescent="0.2">
      <c r="A619" s="363"/>
      <c r="B619" s="33" t="s">
        <v>472</v>
      </c>
      <c r="C619" s="47">
        <v>54.655974434880015</v>
      </c>
      <c r="D619" s="284"/>
      <c r="E619" s="47">
        <f>C619*1.0582</f>
        <v>57.836952146990036</v>
      </c>
      <c r="F619" s="47">
        <f>E619*1.092</f>
        <v>63.157951744513127</v>
      </c>
      <c r="G619" s="44">
        <v>70</v>
      </c>
      <c r="H619" s="53">
        <f t="shared" si="224"/>
        <v>108.58725383814003</v>
      </c>
      <c r="I619" s="70">
        <v>1.0620000000000001</v>
      </c>
      <c r="J619" s="44">
        <f t="shared" si="225"/>
        <v>102.24788497000002</v>
      </c>
      <c r="K619" s="70">
        <v>1.0640000000000001</v>
      </c>
      <c r="L619" s="44">
        <f t="shared" si="195"/>
        <v>96.097636250000008</v>
      </c>
      <c r="M619" s="47">
        <v>1.07</v>
      </c>
      <c r="N619" s="44">
        <f t="shared" si="189"/>
        <v>89.810874999999996</v>
      </c>
      <c r="O619" s="70">
        <v>1.075</v>
      </c>
      <c r="P619" s="44">
        <f t="shared" si="202"/>
        <v>83.545000000000002</v>
      </c>
      <c r="Q619" s="70">
        <v>1.085</v>
      </c>
      <c r="R619" s="44">
        <v>77</v>
      </c>
      <c r="S619" s="44">
        <f t="shared" si="226"/>
        <v>77</v>
      </c>
      <c r="T619" s="50">
        <v>1.1000000000000001</v>
      </c>
      <c r="U619" s="44">
        <f t="shared" si="226"/>
        <v>123.39204002643206</v>
      </c>
      <c r="V619" s="203">
        <f t="shared" si="227"/>
        <v>116.18836160680983</v>
      </c>
      <c r="W619" s="266">
        <f t="shared" si="228"/>
        <v>116.18836160680983</v>
      </c>
      <c r="X619" s="206">
        <f>148*106.5%</f>
        <v>157.62</v>
      </c>
    </row>
    <row r="620" spans="1:24" x14ac:dyDescent="0.2">
      <c r="A620" s="363"/>
      <c r="B620" s="33" t="s">
        <v>432</v>
      </c>
      <c r="C620" s="47"/>
      <c r="D620" s="284"/>
      <c r="E620" s="47"/>
      <c r="F620" s="47">
        <v>124.39</v>
      </c>
      <c r="G620" s="44">
        <v>137</v>
      </c>
      <c r="H620" s="53">
        <f t="shared" si="224"/>
        <v>212.94383544882001</v>
      </c>
      <c r="I620" s="70">
        <v>1.0620000000000001</v>
      </c>
      <c r="J620" s="44">
        <f t="shared" si="225"/>
        <v>200.51208611000001</v>
      </c>
      <c r="K620" s="70">
        <v>1.0640000000000001</v>
      </c>
      <c r="L620" s="44">
        <f t="shared" si="195"/>
        <v>188.45120875000001</v>
      </c>
      <c r="M620" s="47">
        <v>1.07</v>
      </c>
      <c r="N620" s="44">
        <f t="shared" si="189"/>
        <v>176.122625</v>
      </c>
      <c r="O620" s="70">
        <v>1.075</v>
      </c>
      <c r="P620" s="44">
        <f t="shared" si="202"/>
        <v>163.83500000000001</v>
      </c>
      <c r="Q620" s="70">
        <v>1.085</v>
      </c>
      <c r="R620" s="44">
        <v>151</v>
      </c>
      <c r="S620" s="44">
        <f t="shared" si="226"/>
        <v>150.70000000000002</v>
      </c>
      <c r="T620" s="50">
        <v>1.1000000000000001</v>
      </c>
      <c r="U620" s="44">
        <f t="shared" si="226"/>
        <v>241.97659797391216</v>
      </c>
      <c r="V620" s="203">
        <f t="shared" si="227"/>
        <v>227.84990393023742</v>
      </c>
      <c r="W620" s="266">
        <f t="shared" si="228"/>
        <v>227.84990393023742</v>
      </c>
      <c r="X620" s="206">
        <f>292*106.5%</f>
        <v>310.97999999999996</v>
      </c>
    </row>
    <row r="621" spans="1:24" x14ac:dyDescent="0.2">
      <c r="A621" s="363"/>
      <c r="B621" s="128" t="s">
        <v>28</v>
      </c>
      <c r="C621" s="284"/>
      <c r="D621" s="284"/>
      <c r="E621" s="284"/>
      <c r="F621" s="284"/>
      <c r="G621" s="44">
        <v>137</v>
      </c>
      <c r="H621" s="53">
        <f t="shared" si="224"/>
        <v>212.94383544882001</v>
      </c>
      <c r="I621" s="70">
        <v>1.0620000000000001</v>
      </c>
      <c r="J621" s="44">
        <f t="shared" si="225"/>
        <v>200.51208611000001</v>
      </c>
      <c r="K621" s="70">
        <v>1.0640000000000001</v>
      </c>
      <c r="L621" s="44">
        <f t="shared" si="195"/>
        <v>188.45120875000001</v>
      </c>
      <c r="M621" s="47">
        <v>1.07</v>
      </c>
      <c r="N621" s="44">
        <f t="shared" si="189"/>
        <v>176.122625</v>
      </c>
      <c r="O621" s="70">
        <v>1.075</v>
      </c>
      <c r="P621" s="44">
        <f t="shared" si="202"/>
        <v>163.83500000000001</v>
      </c>
      <c r="Q621" s="70">
        <v>1.085</v>
      </c>
      <c r="R621" s="44">
        <v>151</v>
      </c>
      <c r="S621" s="44">
        <f t="shared" si="226"/>
        <v>150.70000000000002</v>
      </c>
      <c r="T621" s="50">
        <v>1.1000000000000001</v>
      </c>
      <c r="U621" s="44">
        <f t="shared" si="226"/>
        <v>241.97659797391216</v>
      </c>
      <c r="V621" s="203">
        <f t="shared" si="227"/>
        <v>227.84990393023742</v>
      </c>
      <c r="W621" s="266">
        <f t="shared" si="228"/>
        <v>227.84990393023742</v>
      </c>
      <c r="X621" s="206">
        <f>292*106.5%</f>
        <v>310.97999999999996</v>
      </c>
    </row>
    <row r="622" spans="1:24" x14ac:dyDescent="0.25">
      <c r="A622" s="362" t="s">
        <v>241</v>
      </c>
      <c r="B622" s="345" t="s">
        <v>370</v>
      </c>
      <c r="C622" s="346"/>
      <c r="D622" s="346"/>
      <c r="E622" s="346"/>
      <c r="F622" s="346"/>
      <c r="G622" s="346"/>
      <c r="H622" s="346"/>
      <c r="I622" s="346"/>
      <c r="J622" s="347"/>
      <c r="K622" s="47"/>
      <c r="L622" s="44"/>
      <c r="M622" s="47"/>
      <c r="N622" s="44"/>
      <c r="O622" s="70"/>
      <c r="P622" s="44"/>
      <c r="Q622" s="70"/>
      <c r="R622" s="44"/>
      <c r="S622" s="44"/>
      <c r="T622" s="50"/>
      <c r="U622" s="44"/>
      <c r="V622" s="15"/>
      <c r="X622" s="206"/>
    </row>
    <row r="623" spans="1:24" x14ac:dyDescent="0.2">
      <c r="A623" s="363"/>
      <c r="B623" s="33" t="s">
        <v>473</v>
      </c>
      <c r="C623" s="47">
        <v>146.34027256867202</v>
      </c>
      <c r="D623" s="284"/>
      <c r="E623" s="47">
        <f>C623*1.0582</f>
        <v>154.85727643216873</v>
      </c>
      <c r="F623" s="47">
        <v>210</v>
      </c>
      <c r="G623" s="44">
        <v>231</v>
      </c>
      <c r="H623" s="53">
        <f>J623*I623</f>
        <v>358.19691525828006</v>
      </c>
      <c r="I623" s="70">
        <v>1.0620000000000001</v>
      </c>
      <c r="J623" s="44">
        <f>K623*L623</f>
        <v>337.28523094000002</v>
      </c>
      <c r="K623" s="70">
        <v>1.0640000000000001</v>
      </c>
      <c r="L623" s="44">
        <f t="shared" si="195"/>
        <v>316.99739749999998</v>
      </c>
      <c r="M623" s="47">
        <v>1.07</v>
      </c>
      <c r="N623" s="44">
        <f t="shared" si="189"/>
        <v>296.25924999999995</v>
      </c>
      <c r="O623" s="70">
        <v>1.075</v>
      </c>
      <c r="P623" s="44">
        <f t="shared" si="202"/>
        <v>275.58999999999997</v>
      </c>
      <c r="Q623" s="70">
        <v>1.085</v>
      </c>
      <c r="R623" s="44">
        <v>254</v>
      </c>
      <c r="S623" s="44">
        <f>G623*T623</f>
        <v>254.10000000000002</v>
      </c>
      <c r="T623" s="50">
        <v>1.1000000000000001</v>
      </c>
      <c r="U623" s="44">
        <f>I623*V623</f>
        <v>407.03348268459405</v>
      </c>
      <c r="V623" s="203">
        <f>H623*107%</f>
        <v>383.2706993263597</v>
      </c>
      <c r="W623" s="266">
        <f>V623</f>
        <v>383.2706993263597</v>
      </c>
      <c r="X623" s="206">
        <f>491*106.5%</f>
        <v>522.91499999999996</v>
      </c>
    </row>
    <row r="624" spans="1:24" x14ac:dyDescent="0.2">
      <c r="A624" s="363"/>
      <c r="B624" s="33" t="s">
        <v>474</v>
      </c>
      <c r="C624" s="47">
        <v>104.52039293404803</v>
      </c>
      <c r="D624" s="284"/>
      <c r="E624" s="47">
        <f>C624*1.0582</f>
        <v>110.60347980280963</v>
      </c>
      <c r="F624" s="47">
        <v>225.76</v>
      </c>
      <c r="G624" s="44">
        <v>249</v>
      </c>
      <c r="H624" s="53">
        <f>J624*I624</f>
        <v>386.40139677467999</v>
      </c>
      <c r="I624" s="70">
        <v>1.0620000000000001</v>
      </c>
      <c r="J624" s="44">
        <f>K624*L624</f>
        <v>363.84312313999999</v>
      </c>
      <c r="K624" s="70">
        <v>1.0640000000000001</v>
      </c>
      <c r="L624" s="44">
        <f t="shared" si="195"/>
        <v>341.95782249999996</v>
      </c>
      <c r="M624" s="47">
        <v>1.07</v>
      </c>
      <c r="N624" s="44">
        <f t="shared" ref="N624:N682" si="229">O624*P624</f>
        <v>319.58674999999994</v>
      </c>
      <c r="O624" s="70">
        <v>1.075</v>
      </c>
      <c r="P624" s="44">
        <f t="shared" si="202"/>
        <v>297.28999999999996</v>
      </c>
      <c r="Q624" s="70">
        <v>1.085</v>
      </c>
      <c r="R624" s="44">
        <v>274</v>
      </c>
      <c r="S624" s="44">
        <f>G624*T624</f>
        <v>273.90000000000003</v>
      </c>
      <c r="T624" s="50">
        <v>1.1000000000000001</v>
      </c>
      <c r="U624" s="44">
        <f>I624*V624</f>
        <v>439.08336321093992</v>
      </c>
      <c r="V624" s="203">
        <f>H624*107%</f>
        <v>413.44949454890764</v>
      </c>
      <c r="W624" s="266">
        <f>V624</f>
        <v>413.44949454890764</v>
      </c>
      <c r="X624" s="206">
        <f>530*106.5%</f>
        <v>564.44999999999993</v>
      </c>
    </row>
    <row r="625" spans="1:24" ht="15.95" customHeight="1" x14ac:dyDescent="0.2">
      <c r="A625" s="363"/>
      <c r="B625" s="33" t="s">
        <v>475</v>
      </c>
      <c r="C625" s="47">
        <v>6.9015989165760008</v>
      </c>
      <c r="D625" s="284"/>
      <c r="E625" s="47">
        <f>C625*1.0582</f>
        <v>7.3032719735207241</v>
      </c>
      <c r="F625" s="47">
        <v>11</v>
      </c>
      <c r="G625" s="44">
        <v>12</v>
      </c>
      <c r="H625" s="53">
        <f>J625*I625</f>
        <v>18.332912985659998</v>
      </c>
      <c r="I625" s="70">
        <v>1.0620000000000001</v>
      </c>
      <c r="J625" s="44">
        <f>K625*L625</f>
        <v>17.262629929999999</v>
      </c>
      <c r="K625" s="70">
        <v>1.0640000000000001</v>
      </c>
      <c r="L625" s="44">
        <f t="shared" si="195"/>
        <v>16.224276249999999</v>
      </c>
      <c r="M625" s="47">
        <v>1.07</v>
      </c>
      <c r="N625" s="44">
        <f t="shared" si="229"/>
        <v>15.162875</v>
      </c>
      <c r="O625" s="70">
        <v>1.075</v>
      </c>
      <c r="P625" s="44">
        <f t="shared" si="202"/>
        <v>14.105</v>
      </c>
      <c r="Q625" s="70">
        <v>1.085</v>
      </c>
      <c r="R625" s="44">
        <v>13</v>
      </c>
      <c r="S625" s="44">
        <f>G625*T625</f>
        <v>13.200000000000001</v>
      </c>
      <c r="T625" s="50">
        <v>1.1000000000000001</v>
      </c>
      <c r="U625" s="44">
        <f>I625*V625</f>
        <v>20.832422342124882</v>
      </c>
      <c r="V625" s="203">
        <f>H625*107%</f>
        <v>19.616216894656198</v>
      </c>
      <c r="W625" s="266">
        <f>V625</f>
        <v>19.616216894656198</v>
      </c>
      <c r="X625" s="206">
        <f>26*106.5%</f>
        <v>27.689999999999998</v>
      </c>
    </row>
    <row r="626" spans="1:24" ht="15.95" customHeight="1" x14ac:dyDescent="0.2">
      <c r="A626" s="363"/>
      <c r="B626" s="33" t="s">
        <v>443</v>
      </c>
      <c r="C626" s="47">
        <v>129.92882716195203</v>
      </c>
      <c r="D626" s="284"/>
      <c r="E626" s="47">
        <f>C626*1.0582</f>
        <v>137.49068490277764</v>
      </c>
      <c r="F626" s="47">
        <v>529.4</v>
      </c>
      <c r="G626" s="44">
        <v>582</v>
      </c>
      <c r="H626" s="53">
        <f>J626*I626</f>
        <v>902.54340852479993</v>
      </c>
      <c r="I626" s="70">
        <v>1.0620000000000001</v>
      </c>
      <c r="J626" s="44">
        <f>K626*L626</f>
        <v>849.85255039999993</v>
      </c>
      <c r="K626" s="70">
        <v>1.0640000000000001</v>
      </c>
      <c r="L626" s="44">
        <f t="shared" si="195"/>
        <v>798.73359999999991</v>
      </c>
      <c r="M626" s="47">
        <v>1.07</v>
      </c>
      <c r="N626" s="44">
        <f t="shared" si="229"/>
        <v>746.4799999999999</v>
      </c>
      <c r="O626" s="70">
        <v>1.075</v>
      </c>
      <c r="P626" s="44">
        <f t="shared" si="202"/>
        <v>694.4</v>
      </c>
      <c r="Q626" s="70">
        <v>1.085</v>
      </c>
      <c r="R626" s="44">
        <v>640</v>
      </c>
      <c r="S626" s="44">
        <f>G626*T626</f>
        <v>640.20000000000005</v>
      </c>
      <c r="T626" s="50">
        <v>1.1000000000000001</v>
      </c>
      <c r="U626" s="44">
        <f>I626*V626</f>
        <v>1025.5961768430714</v>
      </c>
      <c r="V626" s="203">
        <f>H626*107%</f>
        <v>965.72144712153602</v>
      </c>
      <c r="W626" s="266">
        <f>V626</f>
        <v>965.72144712153602</v>
      </c>
      <c r="X626" s="206">
        <f>1238*106.5%</f>
        <v>1318.47</v>
      </c>
    </row>
    <row r="627" spans="1:24" ht="15.95" customHeight="1" x14ac:dyDescent="0.25">
      <c r="A627" s="362" t="s">
        <v>242</v>
      </c>
      <c r="B627" s="345" t="s">
        <v>369</v>
      </c>
      <c r="C627" s="346"/>
      <c r="D627" s="346"/>
      <c r="E627" s="346"/>
      <c r="F627" s="346"/>
      <c r="G627" s="346"/>
      <c r="H627" s="346"/>
      <c r="I627" s="346"/>
      <c r="J627" s="347"/>
      <c r="K627" s="47"/>
      <c r="L627" s="44"/>
      <c r="M627" s="47"/>
      <c r="N627" s="44"/>
      <c r="O627" s="70"/>
      <c r="P627" s="44"/>
      <c r="Q627" s="70"/>
      <c r="R627" s="44"/>
      <c r="S627" s="44"/>
      <c r="T627" s="50"/>
      <c r="U627" s="44"/>
      <c r="V627" s="15"/>
      <c r="X627" s="206"/>
    </row>
    <row r="628" spans="1:24" ht="15.95" customHeight="1" x14ac:dyDescent="0.2">
      <c r="A628" s="363"/>
      <c r="B628" s="33" t="s">
        <v>478</v>
      </c>
      <c r="C628" s="47">
        <v>88.607152120032012</v>
      </c>
      <c r="D628" s="284"/>
      <c r="E628" s="47">
        <f t="shared" ref="E628:E635" si="230">C628*1.0582</f>
        <v>93.764088373417877</v>
      </c>
      <c r="F628" s="47">
        <v>147.63999999999999</v>
      </c>
      <c r="G628" s="44">
        <v>163</v>
      </c>
      <c r="H628" s="53">
        <f t="shared" ref="H628:H635" si="231">J628*I628</f>
        <v>252.43010957178006</v>
      </c>
      <c r="I628" s="70">
        <v>1.0620000000000001</v>
      </c>
      <c r="J628" s="44">
        <f t="shared" ref="J628:J635" si="232">K628*L628</f>
        <v>237.69313519000005</v>
      </c>
      <c r="K628" s="70">
        <v>1.0640000000000001</v>
      </c>
      <c r="L628" s="44">
        <f t="shared" si="195"/>
        <v>223.39580375000003</v>
      </c>
      <c r="M628" s="47">
        <v>1.07</v>
      </c>
      <c r="N628" s="44">
        <f t="shared" si="229"/>
        <v>208.781125</v>
      </c>
      <c r="O628" s="70">
        <v>1.075</v>
      </c>
      <c r="P628" s="44">
        <f t="shared" si="202"/>
        <v>194.215</v>
      </c>
      <c r="Q628" s="70">
        <v>1.085</v>
      </c>
      <c r="R628" s="44">
        <v>179</v>
      </c>
      <c r="S628" s="44">
        <f t="shared" ref="S628:U635" si="233">G628*T628</f>
        <v>179.3</v>
      </c>
      <c r="T628" s="50">
        <v>1.1000000000000001</v>
      </c>
      <c r="U628" s="44">
        <f t="shared" si="233"/>
        <v>286.8464307107966</v>
      </c>
      <c r="V628" s="203">
        <f t="shared" ref="V628:V635" si="234">H628*107%</f>
        <v>270.10021724180467</v>
      </c>
      <c r="W628" s="266">
        <f t="shared" ref="W628:W635" si="235">V628</f>
        <v>270.10021724180467</v>
      </c>
      <c r="X628" s="206">
        <f>347*106.5%</f>
        <v>369.55500000000001</v>
      </c>
    </row>
    <row r="629" spans="1:24" ht="15.95" customHeight="1" x14ac:dyDescent="0.2">
      <c r="A629" s="363"/>
      <c r="B629" s="33" t="s">
        <v>479</v>
      </c>
      <c r="C629" s="47">
        <v>70.378725257568036</v>
      </c>
      <c r="D629" s="284"/>
      <c r="E629" s="47">
        <f t="shared" si="230"/>
        <v>74.474767067558503</v>
      </c>
      <c r="F629" s="47">
        <v>395.6</v>
      </c>
      <c r="G629" s="44">
        <v>436</v>
      </c>
      <c r="H629" s="53">
        <f t="shared" si="231"/>
        <v>676.90755639359998</v>
      </c>
      <c r="I629" s="70">
        <v>1.0620000000000001</v>
      </c>
      <c r="J629" s="44">
        <f t="shared" si="232"/>
        <v>637.38941279999995</v>
      </c>
      <c r="K629" s="70">
        <v>1.0640000000000001</v>
      </c>
      <c r="L629" s="44">
        <f t="shared" si="195"/>
        <v>599.0501999999999</v>
      </c>
      <c r="M629" s="47">
        <v>1.07</v>
      </c>
      <c r="N629" s="44">
        <f t="shared" si="229"/>
        <v>559.8599999999999</v>
      </c>
      <c r="O629" s="70">
        <v>1.075</v>
      </c>
      <c r="P629" s="44">
        <f t="shared" si="202"/>
        <v>520.79999999999995</v>
      </c>
      <c r="Q629" s="70">
        <v>1.085</v>
      </c>
      <c r="R629" s="44">
        <v>480</v>
      </c>
      <c r="S629" s="44">
        <f t="shared" si="233"/>
        <v>479.6</v>
      </c>
      <c r="T629" s="50">
        <v>1.1000000000000001</v>
      </c>
      <c r="U629" s="44">
        <f t="shared" si="233"/>
        <v>769.19713263230346</v>
      </c>
      <c r="V629" s="203">
        <f t="shared" si="234"/>
        <v>724.29108534115198</v>
      </c>
      <c r="W629" s="266">
        <f t="shared" si="235"/>
        <v>724.29108534115198</v>
      </c>
      <c r="X629" s="206">
        <f>928*106.5%</f>
        <v>988.31999999999994</v>
      </c>
    </row>
    <row r="630" spans="1:24" ht="15.95" customHeight="1" x14ac:dyDescent="0.2">
      <c r="A630" s="363"/>
      <c r="B630" s="33" t="s">
        <v>480</v>
      </c>
      <c r="C630" s="47">
        <v>122.55832980518403</v>
      </c>
      <c r="D630" s="284"/>
      <c r="E630" s="47">
        <f t="shared" si="230"/>
        <v>129.69122459984575</v>
      </c>
      <c r="F630" s="47">
        <v>329.2</v>
      </c>
      <c r="G630" s="44">
        <v>362</v>
      </c>
      <c r="H630" s="53">
        <f t="shared" si="231"/>
        <v>561.26918217636012</v>
      </c>
      <c r="I630" s="70">
        <v>1.0620000000000001</v>
      </c>
      <c r="J630" s="44">
        <f t="shared" si="232"/>
        <v>528.50205478000009</v>
      </c>
      <c r="K630" s="70">
        <v>1.0640000000000001</v>
      </c>
      <c r="L630" s="44">
        <f t="shared" si="195"/>
        <v>496.71245750000003</v>
      </c>
      <c r="M630" s="47">
        <v>1.07</v>
      </c>
      <c r="N630" s="44">
        <f t="shared" si="229"/>
        <v>464.21724999999998</v>
      </c>
      <c r="O630" s="70">
        <v>1.075</v>
      </c>
      <c r="P630" s="44">
        <f t="shared" si="202"/>
        <v>431.83</v>
      </c>
      <c r="Q630" s="70">
        <v>1.085</v>
      </c>
      <c r="R630" s="44">
        <v>398</v>
      </c>
      <c r="S630" s="44">
        <f t="shared" si="233"/>
        <v>398.20000000000005</v>
      </c>
      <c r="T630" s="50">
        <v>1.1000000000000001</v>
      </c>
      <c r="U630" s="44">
        <f t="shared" si="233"/>
        <v>637.79262247428505</v>
      </c>
      <c r="V630" s="203">
        <f t="shared" si="234"/>
        <v>600.55802492870532</v>
      </c>
      <c r="W630" s="266">
        <f t="shared" si="235"/>
        <v>600.55802492870532</v>
      </c>
      <c r="X630" s="206">
        <f>771*106.5%</f>
        <v>821.11500000000001</v>
      </c>
    </row>
    <row r="631" spans="1:24" ht="15.95" customHeight="1" x14ac:dyDescent="0.2">
      <c r="A631" s="363"/>
      <c r="B631" s="33" t="s">
        <v>481</v>
      </c>
      <c r="C631" s="47">
        <v>55.520505933984019</v>
      </c>
      <c r="D631" s="284"/>
      <c r="E631" s="47">
        <f t="shared" si="230"/>
        <v>58.75179937934189</v>
      </c>
      <c r="F631" s="47">
        <v>183.18</v>
      </c>
      <c r="G631" s="44">
        <v>202</v>
      </c>
      <c r="H631" s="53">
        <f t="shared" si="231"/>
        <v>313.06974483204004</v>
      </c>
      <c r="I631" s="70">
        <v>1.0620000000000001</v>
      </c>
      <c r="J631" s="44">
        <f t="shared" si="232"/>
        <v>294.79260342000003</v>
      </c>
      <c r="K631" s="70">
        <v>1.0640000000000001</v>
      </c>
      <c r="L631" s="44">
        <f t="shared" si="195"/>
        <v>277.06071750000001</v>
      </c>
      <c r="M631" s="47">
        <v>1.07</v>
      </c>
      <c r="N631" s="44">
        <f t="shared" si="229"/>
        <v>258.93525</v>
      </c>
      <c r="O631" s="70">
        <v>1.075</v>
      </c>
      <c r="P631" s="44">
        <f t="shared" si="202"/>
        <v>240.87</v>
      </c>
      <c r="Q631" s="70">
        <v>1.085</v>
      </c>
      <c r="R631" s="44">
        <v>222</v>
      </c>
      <c r="S631" s="44">
        <f t="shared" si="233"/>
        <v>222.20000000000002</v>
      </c>
      <c r="T631" s="50">
        <v>1.1000000000000001</v>
      </c>
      <c r="U631" s="44">
        <f t="shared" si="233"/>
        <v>355.75367384244043</v>
      </c>
      <c r="V631" s="203">
        <f t="shared" si="234"/>
        <v>334.98462697028287</v>
      </c>
      <c r="W631" s="266">
        <f t="shared" si="235"/>
        <v>334.98462697028287</v>
      </c>
      <c r="X631" s="206">
        <f>430*106.5%</f>
        <v>457.95</v>
      </c>
    </row>
    <row r="632" spans="1:24" ht="15.95" customHeight="1" x14ac:dyDescent="0.2">
      <c r="A632" s="363"/>
      <c r="B632" s="33" t="s">
        <v>482</v>
      </c>
      <c r="C632" s="47">
        <v>6.5206189339200016</v>
      </c>
      <c r="D632" s="284"/>
      <c r="E632" s="47">
        <f t="shared" si="230"/>
        <v>6.900118955874146</v>
      </c>
      <c r="F632" s="47">
        <v>94</v>
      </c>
      <c r="G632" s="44">
        <v>103</v>
      </c>
      <c r="H632" s="53">
        <f t="shared" si="231"/>
        <v>159.35532056765999</v>
      </c>
      <c r="I632" s="70">
        <v>1.0620000000000001</v>
      </c>
      <c r="J632" s="44">
        <f t="shared" si="232"/>
        <v>150.05209092999999</v>
      </c>
      <c r="K632" s="70">
        <v>1.0640000000000001</v>
      </c>
      <c r="L632" s="44">
        <f t="shared" si="195"/>
        <v>141.02640124999999</v>
      </c>
      <c r="M632" s="47">
        <v>1.07</v>
      </c>
      <c r="N632" s="44">
        <f t="shared" si="229"/>
        <v>131.80037499999997</v>
      </c>
      <c r="O632" s="70">
        <v>1.075</v>
      </c>
      <c r="P632" s="44">
        <f t="shared" si="202"/>
        <v>122.60499999999999</v>
      </c>
      <c r="Q632" s="70">
        <v>1.085</v>
      </c>
      <c r="R632" s="44">
        <v>113</v>
      </c>
      <c r="S632" s="44">
        <f t="shared" si="233"/>
        <v>113.30000000000001</v>
      </c>
      <c r="T632" s="50">
        <v>1.1000000000000001</v>
      </c>
      <c r="U632" s="44">
        <f t="shared" si="233"/>
        <v>181.08182497385476</v>
      </c>
      <c r="V632" s="203">
        <f t="shared" si="234"/>
        <v>170.5101930073962</v>
      </c>
      <c r="W632" s="266">
        <f t="shared" si="235"/>
        <v>170.5101930073962</v>
      </c>
      <c r="X632" s="206">
        <f>218*106.5%</f>
        <v>232.17</v>
      </c>
    </row>
    <row r="633" spans="1:24" ht="15.95" customHeight="1" x14ac:dyDescent="0.2">
      <c r="A633" s="363"/>
      <c r="B633" s="33" t="s">
        <v>483</v>
      </c>
      <c r="C633" s="47">
        <v>74.994444278208007</v>
      </c>
      <c r="D633" s="284"/>
      <c r="E633" s="47">
        <f t="shared" si="230"/>
        <v>79.359120935199712</v>
      </c>
      <c r="F633" s="47">
        <v>108</v>
      </c>
      <c r="G633" s="44">
        <v>119</v>
      </c>
      <c r="H633" s="53">
        <f t="shared" si="231"/>
        <v>184.73935393241999</v>
      </c>
      <c r="I633" s="70">
        <v>1.0620000000000001</v>
      </c>
      <c r="J633" s="44">
        <f t="shared" si="232"/>
        <v>173.95419390999999</v>
      </c>
      <c r="K633" s="70">
        <v>1.0640000000000001</v>
      </c>
      <c r="L633" s="44">
        <f t="shared" si="195"/>
        <v>163.49078374999999</v>
      </c>
      <c r="M633" s="47">
        <v>1.07</v>
      </c>
      <c r="N633" s="44">
        <f t="shared" si="229"/>
        <v>152.79512499999998</v>
      </c>
      <c r="O633" s="70">
        <v>1.075</v>
      </c>
      <c r="P633" s="44">
        <f t="shared" si="202"/>
        <v>142.13499999999999</v>
      </c>
      <c r="Q633" s="70">
        <v>1.085</v>
      </c>
      <c r="R633" s="44">
        <v>131</v>
      </c>
      <c r="S633" s="44">
        <f t="shared" si="233"/>
        <v>130.9</v>
      </c>
      <c r="T633" s="50">
        <v>1.1000000000000001</v>
      </c>
      <c r="U633" s="44">
        <f t="shared" si="233"/>
        <v>209.92671744756615</v>
      </c>
      <c r="V633" s="203">
        <f t="shared" si="234"/>
        <v>197.6711087076894</v>
      </c>
      <c r="W633" s="266">
        <f t="shared" si="235"/>
        <v>197.6711087076894</v>
      </c>
      <c r="X633" s="206">
        <f>254*106.5%</f>
        <v>270.51</v>
      </c>
    </row>
    <row r="634" spans="1:24" ht="15.95" customHeight="1" x14ac:dyDescent="0.2">
      <c r="A634" s="363"/>
      <c r="B634" s="33" t="s">
        <v>30</v>
      </c>
      <c r="C634" s="47"/>
      <c r="D634" s="284"/>
      <c r="E634" s="47"/>
      <c r="F634" s="47"/>
      <c r="G634" s="44">
        <v>125</v>
      </c>
      <c r="H634" s="53">
        <f t="shared" si="231"/>
        <v>194.61092246316002</v>
      </c>
      <c r="I634" s="70">
        <v>1.0620000000000001</v>
      </c>
      <c r="J634" s="44">
        <f t="shared" si="232"/>
        <v>183.24945618000001</v>
      </c>
      <c r="K634" s="70">
        <v>1.0640000000000001</v>
      </c>
      <c r="L634" s="44">
        <f t="shared" si="195"/>
        <v>172.2269325</v>
      </c>
      <c r="M634" s="47">
        <v>1.07</v>
      </c>
      <c r="N634" s="44">
        <f t="shared" si="229"/>
        <v>160.95974999999999</v>
      </c>
      <c r="O634" s="70">
        <v>1.075</v>
      </c>
      <c r="P634" s="44">
        <f t="shared" si="202"/>
        <v>149.72999999999999</v>
      </c>
      <c r="Q634" s="70">
        <v>1.085</v>
      </c>
      <c r="R634" s="44">
        <v>138</v>
      </c>
      <c r="S634" s="44">
        <f t="shared" si="233"/>
        <v>137.5</v>
      </c>
      <c r="T634" s="50">
        <v>1.1000000000000001</v>
      </c>
      <c r="U634" s="44">
        <f t="shared" si="233"/>
        <v>221.14417563178728</v>
      </c>
      <c r="V634" s="203">
        <f t="shared" si="234"/>
        <v>208.23368703558123</v>
      </c>
      <c r="W634" s="266">
        <f t="shared" si="235"/>
        <v>208.23368703558123</v>
      </c>
      <c r="X634" s="206">
        <f>266*106%</f>
        <v>281.96000000000004</v>
      </c>
    </row>
    <row r="635" spans="1:24" ht="15.95" customHeight="1" x14ac:dyDescent="0.2">
      <c r="A635" s="363"/>
      <c r="B635" s="33" t="s">
        <v>484</v>
      </c>
      <c r="C635" s="47">
        <v>59.066550387936019</v>
      </c>
      <c r="D635" s="284"/>
      <c r="E635" s="47">
        <f t="shared" si="230"/>
        <v>62.504223620513898</v>
      </c>
      <c r="F635" s="47">
        <v>157.4</v>
      </c>
      <c r="G635" s="44">
        <v>173</v>
      </c>
      <c r="H635" s="53">
        <f t="shared" si="231"/>
        <v>267.94257440580003</v>
      </c>
      <c r="I635" s="70">
        <v>1.0620000000000001</v>
      </c>
      <c r="J635" s="44">
        <f t="shared" si="232"/>
        <v>252.29997589999999</v>
      </c>
      <c r="K635" s="70">
        <v>1.0640000000000001</v>
      </c>
      <c r="L635" s="44">
        <f t="shared" si="195"/>
        <v>237.12403749999999</v>
      </c>
      <c r="M635" s="47">
        <v>1.07</v>
      </c>
      <c r="N635" s="44">
        <f t="shared" si="229"/>
        <v>221.61124999999998</v>
      </c>
      <c r="O635" s="70">
        <v>1.075</v>
      </c>
      <c r="P635" s="44">
        <f t="shared" si="202"/>
        <v>206.15</v>
      </c>
      <c r="Q635" s="70">
        <v>1.085</v>
      </c>
      <c r="R635" s="44">
        <v>190</v>
      </c>
      <c r="S635" s="44">
        <f t="shared" si="233"/>
        <v>190.3</v>
      </c>
      <c r="T635" s="50">
        <v>1.1000000000000001</v>
      </c>
      <c r="U635" s="44">
        <f t="shared" si="233"/>
        <v>304.47386500028682</v>
      </c>
      <c r="V635" s="203">
        <f t="shared" si="234"/>
        <v>286.69855461420605</v>
      </c>
      <c r="W635" s="266">
        <f t="shared" si="235"/>
        <v>286.69855461420605</v>
      </c>
      <c r="X635" s="206">
        <f>368*106.5%</f>
        <v>391.91999999999996</v>
      </c>
    </row>
    <row r="636" spans="1:24" ht="15.95" customHeight="1" x14ac:dyDescent="0.25">
      <c r="A636" s="362" t="s">
        <v>243</v>
      </c>
      <c r="B636" s="345" t="s">
        <v>368</v>
      </c>
      <c r="C636" s="346"/>
      <c r="D636" s="346"/>
      <c r="E636" s="346"/>
      <c r="F636" s="346"/>
      <c r="G636" s="346"/>
      <c r="H636" s="346"/>
      <c r="I636" s="346"/>
      <c r="J636" s="347"/>
      <c r="K636" s="47"/>
      <c r="L636" s="44"/>
      <c r="M636" s="47"/>
      <c r="N636" s="44"/>
      <c r="O636" s="70"/>
      <c r="P636" s="44"/>
      <c r="Q636" s="70"/>
      <c r="R636" s="44"/>
      <c r="S636" s="44"/>
      <c r="T636" s="50"/>
      <c r="U636" s="44"/>
      <c r="V636" s="15"/>
      <c r="X636" s="206"/>
    </row>
    <row r="637" spans="1:24" ht="15.95" customHeight="1" x14ac:dyDescent="0.2">
      <c r="A637" s="363"/>
      <c r="B637" s="104" t="s">
        <v>485</v>
      </c>
      <c r="C637" s="47">
        <v>142.88214657225603</v>
      </c>
      <c r="D637" s="284"/>
      <c r="E637" s="47">
        <f t="shared" ref="E637:E645" si="236">C637*1.0582</f>
        <v>151.19788750276135</v>
      </c>
      <c r="F637" s="47">
        <v>453.07</v>
      </c>
      <c r="G637" s="44">
        <v>498</v>
      </c>
      <c r="H637" s="53">
        <f t="shared" ref="H637:H645" si="237">J637*I637</f>
        <v>772.80279354935999</v>
      </c>
      <c r="I637" s="70">
        <v>1.0620000000000001</v>
      </c>
      <c r="J637" s="44">
        <f t="shared" ref="J637:J645" si="238">K637*L637</f>
        <v>727.68624627999998</v>
      </c>
      <c r="K637" s="70">
        <v>1.0640000000000001</v>
      </c>
      <c r="L637" s="44">
        <f t="shared" si="195"/>
        <v>683.91564499999993</v>
      </c>
      <c r="M637" s="47">
        <v>1.07</v>
      </c>
      <c r="N637" s="44">
        <f t="shared" si="229"/>
        <v>639.17349999999988</v>
      </c>
      <c r="O637" s="70">
        <v>1.075</v>
      </c>
      <c r="P637" s="44">
        <f t="shared" si="202"/>
        <v>594.57999999999993</v>
      </c>
      <c r="Q637" s="70">
        <v>1.085</v>
      </c>
      <c r="R637" s="44">
        <v>548</v>
      </c>
      <c r="S637" s="44">
        <f t="shared" ref="S637:U645" si="239">G637*T637</f>
        <v>547.80000000000007</v>
      </c>
      <c r="T637" s="50">
        <v>1.1000000000000001</v>
      </c>
      <c r="U637" s="44">
        <f t="shared" si="239"/>
        <v>878.16672642187984</v>
      </c>
      <c r="V637" s="203">
        <f t="shared" ref="V637:V645" si="240">H637*107%</f>
        <v>826.89898909781527</v>
      </c>
      <c r="W637" s="266">
        <f t="shared" ref="W637:W645" si="241">V637</f>
        <v>826.89898909781527</v>
      </c>
      <c r="X637" s="206">
        <f>1060*106.5%</f>
        <v>1128.8999999999999</v>
      </c>
    </row>
    <row r="638" spans="1:24" ht="15.95" customHeight="1" x14ac:dyDescent="0.2">
      <c r="A638" s="363"/>
      <c r="B638" s="104" t="s">
        <v>486</v>
      </c>
      <c r="C638" s="47">
        <v>57.059078940864012</v>
      </c>
      <c r="D638" s="284"/>
      <c r="E638" s="47">
        <f t="shared" si="236"/>
        <v>60.379917335222302</v>
      </c>
      <c r="F638" s="47">
        <v>205.12</v>
      </c>
      <c r="G638" s="44">
        <v>226</v>
      </c>
      <c r="H638" s="53">
        <f t="shared" si="237"/>
        <v>351.1457948791799</v>
      </c>
      <c r="I638" s="70">
        <v>1.0620000000000001</v>
      </c>
      <c r="J638" s="44">
        <f t="shared" si="238"/>
        <v>330.64575788999991</v>
      </c>
      <c r="K638" s="70">
        <v>1.0640000000000001</v>
      </c>
      <c r="L638" s="44">
        <f t="shared" si="195"/>
        <v>310.75729124999992</v>
      </c>
      <c r="M638" s="47">
        <v>1.07</v>
      </c>
      <c r="N638" s="44">
        <f t="shared" si="229"/>
        <v>290.42737499999993</v>
      </c>
      <c r="O638" s="70">
        <v>1.075</v>
      </c>
      <c r="P638" s="44">
        <f t="shared" si="202"/>
        <v>270.16499999999996</v>
      </c>
      <c r="Q638" s="70">
        <v>1.085</v>
      </c>
      <c r="R638" s="44">
        <v>249</v>
      </c>
      <c r="S638" s="44">
        <f t="shared" si="239"/>
        <v>248.60000000000002</v>
      </c>
      <c r="T638" s="50">
        <v>1.1000000000000001</v>
      </c>
      <c r="U638" s="44">
        <f t="shared" si="239"/>
        <v>399.02101255300732</v>
      </c>
      <c r="V638" s="203">
        <f t="shared" si="240"/>
        <v>375.72600052072249</v>
      </c>
      <c r="W638" s="266">
        <f t="shared" si="241"/>
        <v>375.72600052072249</v>
      </c>
      <c r="X638" s="206">
        <f>482*106.5%</f>
        <v>513.32999999999993</v>
      </c>
    </row>
    <row r="639" spans="1:24" ht="15.95" customHeight="1" x14ac:dyDescent="0.2">
      <c r="A639" s="363"/>
      <c r="B639" s="104" t="s">
        <v>487</v>
      </c>
      <c r="C639" s="47">
        <v>137.46050835753601</v>
      </c>
      <c r="D639" s="284"/>
      <c r="E639" s="47">
        <f t="shared" si="236"/>
        <v>145.46070994394461</v>
      </c>
      <c r="F639" s="47">
        <v>741.23</v>
      </c>
      <c r="G639" s="44">
        <v>815</v>
      </c>
      <c r="H639" s="53">
        <f t="shared" si="237"/>
        <v>1264.9709960105399</v>
      </c>
      <c r="I639" s="70">
        <v>1.0620000000000001</v>
      </c>
      <c r="J639" s="44">
        <f t="shared" si="238"/>
        <v>1191.12146517</v>
      </c>
      <c r="K639" s="70">
        <v>1.0640000000000001</v>
      </c>
      <c r="L639" s="44">
        <f t="shared" si="195"/>
        <v>1119.47506125</v>
      </c>
      <c r="M639" s="47">
        <v>1.07</v>
      </c>
      <c r="N639" s="44">
        <f t="shared" si="229"/>
        <v>1046.2383749999999</v>
      </c>
      <c r="O639" s="70">
        <v>1.075</v>
      </c>
      <c r="P639" s="44">
        <f t="shared" si="202"/>
        <v>973.245</v>
      </c>
      <c r="Q639" s="70">
        <v>1.085</v>
      </c>
      <c r="R639" s="44">
        <v>897</v>
      </c>
      <c r="S639" s="44">
        <f t="shared" si="239"/>
        <v>896.50000000000011</v>
      </c>
      <c r="T639" s="50">
        <v>1.1000000000000001</v>
      </c>
      <c r="U639" s="44">
        <f t="shared" si="239"/>
        <v>1437.4371416066172</v>
      </c>
      <c r="V639" s="203">
        <f t="shared" si="240"/>
        <v>1353.5189657312778</v>
      </c>
      <c r="W639" s="266">
        <f t="shared" si="241"/>
        <v>1353.5189657312778</v>
      </c>
      <c r="X639" s="206">
        <f>1735*106.5%</f>
        <v>1847.7749999999999</v>
      </c>
    </row>
    <row r="640" spans="1:24" ht="15.95" customHeight="1" x14ac:dyDescent="0.2">
      <c r="A640" s="363"/>
      <c r="B640" s="104" t="s">
        <v>488</v>
      </c>
      <c r="C640" s="47">
        <v>20.323816767072007</v>
      </c>
      <c r="D640" s="284"/>
      <c r="E640" s="47">
        <f t="shared" si="236"/>
        <v>21.506662902915597</v>
      </c>
      <c r="F640" s="47">
        <v>29</v>
      </c>
      <c r="G640" s="44">
        <v>32</v>
      </c>
      <c r="H640" s="53">
        <f t="shared" si="237"/>
        <v>49.357842653700004</v>
      </c>
      <c r="I640" s="70">
        <v>1.0620000000000001</v>
      </c>
      <c r="J640" s="44">
        <f t="shared" si="238"/>
        <v>46.476311350000003</v>
      </c>
      <c r="K640" s="70">
        <v>1.0640000000000001</v>
      </c>
      <c r="L640" s="44">
        <f t="shared" si="195"/>
        <v>43.680743749999998</v>
      </c>
      <c r="M640" s="47">
        <v>1.07</v>
      </c>
      <c r="N640" s="44">
        <f t="shared" si="229"/>
        <v>40.823124999999997</v>
      </c>
      <c r="O640" s="70">
        <v>1.075</v>
      </c>
      <c r="P640" s="44">
        <f t="shared" si="202"/>
        <v>37.975000000000001</v>
      </c>
      <c r="Q640" s="70">
        <v>1.085</v>
      </c>
      <c r="R640" s="44">
        <v>35</v>
      </c>
      <c r="S640" s="44">
        <f t="shared" si="239"/>
        <v>35.200000000000003</v>
      </c>
      <c r="T640" s="50">
        <v>1.1000000000000001</v>
      </c>
      <c r="U640" s="44">
        <f t="shared" si="239"/>
        <v>56.08729092110547</v>
      </c>
      <c r="V640" s="203">
        <f t="shared" si="240"/>
        <v>52.812891639459011</v>
      </c>
      <c r="W640" s="266">
        <f t="shared" si="241"/>
        <v>52.812891639459011</v>
      </c>
      <c r="X640" s="206">
        <f>69*106.5%</f>
        <v>73.484999999999999</v>
      </c>
    </row>
    <row r="641" spans="1:24" x14ac:dyDescent="0.2">
      <c r="A641" s="363"/>
      <c r="B641" s="104" t="s">
        <v>489</v>
      </c>
      <c r="C641" s="47">
        <v>12.279277902528003</v>
      </c>
      <c r="D641" s="284"/>
      <c r="E641" s="47">
        <f t="shared" si="236"/>
        <v>12.993931876455132</v>
      </c>
      <c r="F641" s="47">
        <v>18</v>
      </c>
      <c r="G641" s="44">
        <v>20</v>
      </c>
      <c r="H641" s="53">
        <f t="shared" si="237"/>
        <v>31.024929668040002</v>
      </c>
      <c r="I641" s="70">
        <v>1.0620000000000001</v>
      </c>
      <c r="J641" s="44">
        <f t="shared" si="238"/>
        <v>29.21368142</v>
      </c>
      <c r="K641" s="70">
        <v>1.0640000000000001</v>
      </c>
      <c r="L641" s="44">
        <f t="shared" ref="L641:L707" si="242">M641*N641</f>
        <v>27.456467499999999</v>
      </c>
      <c r="M641" s="47">
        <v>1.07</v>
      </c>
      <c r="N641" s="44">
        <f t="shared" si="229"/>
        <v>25.660249999999998</v>
      </c>
      <c r="O641" s="70">
        <v>1.075</v>
      </c>
      <c r="P641" s="44">
        <f t="shared" si="202"/>
        <v>23.869999999999997</v>
      </c>
      <c r="Q641" s="70">
        <v>1.085</v>
      </c>
      <c r="R641" s="44">
        <v>22</v>
      </c>
      <c r="S641" s="44">
        <f t="shared" si="239"/>
        <v>22</v>
      </c>
      <c r="T641" s="50">
        <v>1.1000000000000001</v>
      </c>
      <c r="U641" s="44">
        <f t="shared" si="239"/>
        <v>35.254868578980584</v>
      </c>
      <c r="V641" s="203">
        <f t="shared" si="240"/>
        <v>33.196674744802806</v>
      </c>
      <c r="W641" s="266">
        <f t="shared" si="241"/>
        <v>33.196674744802806</v>
      </c>
      <c r="X641" s="206">
        <f>43*106.5%</f>
        <v>45.794999999999995</v>
      </c>
    </row>
    <row r="642" spans="1:24" x14ac:dyDescent="0.2">
      <c r="A642" s="363"/>
      <c r="B642" s="104" t="s">
        <v>490</v>
      </c>
      <c r="C642" s="47">
        <v>133.19646316704004</v>
      </c>
      <c r="D642" s="284"/>
      <c r="E642" s="47">
        <f t="shared" si="236"/>
        <v>140.94849732336178</v>
      </c>
      <c r="F642" s="47">
        <v>353</v>
      </c>
      <c r="G642" s="44">
        <v>388</v>
      </c>
      <c r="H642" s="53">
        <f t="shared" si="237"/>
        <v>602.16568037514003</v>
      </c>
      <c r="I642" s="70">
        <v>1.0620000000000001</v>
      </c>
      <c r="J642" s="44">
        <f t="shared" si="238"/>
        <v>567.01099847</v>
      </c>
      <c r="K642" s="70">
        <v>1.0640000000000001</v>
      </c>
      <c r="L642" s="44">
        <f t="shared" si="242"/>
        <v>532.90507374999993</v>
      </c>
      <c r="M642" s="47">
        <v>1.07</v>
      </c>
      <c r="N642" s="44">
        <f t="shared" si="229"/>
        <v>498.04212499999994</v>
      </c>
      <c r="O642" s="70">
        <v>1.075</v>
      </c>
      <c r="P642" s="44">
        <f t="shared" si="202"/>
        <v>463.29499999999996</v>
      </c>
      <c r="Q642" s="70">
        <v>1.085</v>
      </c>
      <c r="R642" s="44">
        <v>427</v>
      </c>
      <c r="S642" s="44">
        <f t="shared" si="239"/>
        <v>426.8</v>
      </c>
      <c r="T642" s="50">
        <v>1.1000000000000001</v>
      </c>
      <c r="U642" s="44">
        <f t="shared" si="239"/>
        <v>684.26494923748669</v>
      </c>
      <c r="V642" s="203">
        <f t="shared" si="240"/>
        <v>644.31727800139981</v>
      </c>
      <c r="W642" s="266">
        <f t="shared" si="241"/>
        <v>644.31727800139981</v>
      </c>
      <c r="X642" s="206">
        <f>826*106.5%</f>
        <v>879.68999999999994</v>
      </c>
    </row>
    <row r="643" spans="1:24" x14ac:dyDescent="0.2">
      <c r="A643" s="363"/>
      <c r="B643" s="104" t="s">
        <v>491</v>
      </c>
      <c r="C643" s="47">
        <v>69.616765292256005</v>
      </c>
      <c r="D643" s="284"/>
      <c r="E643" s="47">
        <f t="shared" si="236"/>
        <v>73.668461032265313</v>
      </c>
      <c r="F643" s="47">
        <v>325.06</v>
      </c>
      <c r="G643" s="44">
        <v>358</v>
      </c>
      <c r="H643" s="53">
        <f t="shared" si="237"/>
        <v>555.62828587308002</v>
      </c>
      <c r="I643" s="70">
        <v>1.0620000000000001</v>
      </c>
      <c r="J643" s="44">
        <f t="shared" si="238"/>
        <v>523.19047634000003</v>
      </c>
      <c r="K643" s="70">
        <v>1.0640000000000001</v>
      </c>
      <c r="L643" s="44">
        <f t="shared" si="242"/>
        <v>491.7203725</v>
      </c>
      <c r="M643" s="47">
        <v>1.07</v>
      </c>
      <c r="N643" s="44">
        <f t="shared" si="229"/>
        <v>459.55174999999997</v>
      </c>
      <c r="O643" s="70">
        <v>1.075</v>
      </c>
      <c r="P643" s="44">
        <f t="shared" si="202"/>
        <v>427.49</v>
      </c>
      <c r="Q643" s="70">
        <v>1.085</v>
      </c>
      <c r="R643" s="44">
        <v>394</v>
      </c>
      <c r="S643" s="44">
        <f t="shared" si="239"/>
        <v>393.8</v>
      </c>
      <c r="T643" s="50">
        <v>1.1000000000000001</v>
      </c>
      <c r="U643" s="44">
        <f t="shared" si="239"/>
        <v>631.3826463690159</v>
      </c>
      <c r="V643" s="203">
        <f t="shared" si="240"/>
        <v>594.52226588419569</v>
      </c>
      <c r="W643" s="266">
        <f t="shared" si="241"/>
        <v>594.52226588419569</v>
      </c>
      <c r="X643" s="206">
        <f>764*106.5%</f>
        <v>813.66</v>
      </c>
    </row>
    <row r="644" spans="1:24" x14ac:dyDescent="0.2">
      <c r="A644" s="363"/>
      <c r="B644" s="104" t="s">
        <v>492</v>
      </c>
      <c r="C644" s="47">
        <v>81.324573220800019</v>
      </c>
      <c r="D644" s="284"/>
      <c r="E644" s="47">
        <f t="shared" si="236"/>
        <v>86.057663382250581</v>
      </c>
      <c r="F644" s="47">
        <v>443.06</v>
      </c>
      <c r="G644" s="44">
        <v>487</v>
      </c>
      <c r="H644" s="53">
        <f t="shared" si="237"/>
        <v>755.88010463951991</v>
      </c>
      <c r="I644" s="70">
        <v>1.0620000000000001</v>
      </c>
      <c r="J644" s="44">
        <f t="shared" si="238"/>
        <v>711.75151095999991</v>
      </c>
      <c r="K644" s="70">
        <v>1.0640000000000001</v>
      </c>
      <c r="L644" s="44">
        <f t="shared" si="242"/>
        <v>668.93938999999989</v>
      </c>
      <c r="M644" s="47">
        <v>1.07</v>
      </c>
      <c r="N644" s="44">
        <f t="shared" si="229"/>
        <v>625.17699999999991</v>
      </c>
      <c r="O644" s="70">
        <v>1.075</v>
      </c>
      <c r="P644" s="44">
        <f t="shared" si="202"/>
        <v>581.55999999999995</v>
      </c>
      <c r="Q644" s="70">
        <v>1.085</v>
      </c>
      <c r="R644" s="44">
        <v>536</v>
      </c>
      <c r="S644" s="44">
        <f t="shared" si="239"/>
        <v>535.70000000000005</v>
      </c>
      <c r="T644" s="50">
        <v>1.1000000000000001</v>
      </c>
      <c r="U644" s="44">
        <f t="shared" si="239"/>
        <v>858.93679810607216</v>
      </c>
      <c r="V644" s="203">
        <f t="shared" si="240"/>
        <v>808.79171196428638</v>
      </c>
      <c r="W644" s="266">
        <f t="shared" si="241"/>
        <v>808.79171196428638</v>
      </c>
      <c r="X644" s="206">
        <f>1036*106.5%</f>
        <v>1103.3399999999999</v>
      </c>
    </row>
    <row r="645" spans="1:24" x14ac:dyDescent="0.2">
      <c r="A645" s="363"/>
      <c r="B645" s="104" t="s">
        <v>493</v>
      </c>
      <c r="C645" s="47">
        <v>54.274994452224014</v>
      </c>
      <c r="D645" s="284"/>
      <c r="E645" s="47">
        <f t="shared" si="236"/>
        <v>57.433799129343456</v>
      </c>
      <c r="F645" s="47">
        <v>269.16000000000003</v>
      </c>
      <c r="G645" s="44">
        <v>296</v>
      </c>
      <c r="H645" s="53">
        <f t="shared" si="237"/>
        <v>459.73304871732</v>
      </c>
      <c r="I645" s="70">
        <v>1.0620000000000001</v>
      </c>
      <c r="J645" s="44">
        <f t="shared" si="238"/>
        <v>432.89364286</v>
      </c>
      <c r="K645" s="70">
        <v>1.0640000000000001</v>
      </c>
      <c r="L645" s="44">
        <f t="shared" si="242"/>
        <v>406.85492749999997</v>
      </c>
      <c r="M645" s="47">
        <v>1.07</v>
      </c>
      <c r="N645" s="44">
        <f t="shared" si="229"/>
        <v>380.23824999999994</v>
      </c>
      <c r="O645" s="70">
        <v>1.075</v>
      </c>
      <c r="P645" s="44">
        <f t="shared" si="202"/>
        <v>353.71</v>
      </c>
      <c r="Q645" s="70">
        <v>1.085</v>
      </c>
      <c r="R645" s="44">
        <v>326</v>
      </c>
      <c r="S645" s="44">
        <f t="shared" si="239"/>
        <v>325.60000000000002</v>
      </c>
      <c r="T645" s="50">
        <v>1.1000000000000001</v>
      </c>
      <c r="U645" s="44">
        <f t="shared" si="239"/>
        <v>522.41305257943952</v>
      </c>
      <c r="V645" s="203">
        <f t="shared" si="240"/>
        <v>491.91436212753246</v>
      </c>
      <c r="W645" s="266">
        <f t="shared" si="241"/>
        <v>491.91436212753246</v>
      </c>
      <c r="X645" s="206">
        <f>630*106.5%</f>
        <v>670.94999999999993</v>
      </c>
    </row>
    <row r="646" spans="1:24" x14ac:dyDescent="0.25">
      <c r="A646" s="362" t="s">
        <v>244</v>
      </c>
      <c r="B646" s="345" t="s">
        <v>614</v>
      </c>
      <c r="C646" s="346"/>
      <c r="D646" s="346"/>
      <c r="E646" s="346"/>
      <c r="F646" s="346"/>
      <c r="G646" s="346"/>
      <c r="H646" s="346"/>
      <c r="I646" s="346"/>
      <c r="J646" s="347"/>
      <c r="K646" s="47"/>
      <c r="L646" s="44"/>
      <c r="M646" s="47"/>
      <c r="N646" s="44"/>
      <c r="O646" s="70"/>
      <c r="P646" s="44"/>
      <c r="Q646" s="70"/>
      <c r="R646" s="44"/>
      <c r="S646" s="44"/>
      <c r="T646" s="50"/>
      <c r="U646" s="44"/>
      <c r="V646" s="15"/>
      <c r="X646" s="206"/>
    </row>
    <row r="647" spans="1:24" ht="16.5" x14ac:dyDescent="0.2">
      <c r="A647" s="363"/>
      <c r="B647" s="33" t="s">
        <v>708</v>
      </c>
      <c r="C647" s="47">
        <v>172.61323829568002</v>
      </c>
      <c r="D647" s="284"/>
      <c r="E647" s="47">
        <f t="shared" ref="E647:E652" si="243">C647*1.0582</f>
        <v>182.65932876448861</v>
      </c>
      <c r="F647" s="47">
        <v>503.61</v>
      </c>
      <c r="G647" s="44">
        <v>555</v>
      </c>
      <c r="H647" s="53">
        <f t="shared" ref="H647:H655" si="244">J647*I647</f>
        <v>861.64691032601991</v>
      </c>
      <c r="I647" s="70">
        <v>1.0620000000000001</v>
      </c>
      <c r="J647" s="44">
        <f t="shared" ref="J647:J655" si="245">K647*L647</f>
        <v>811.3436067099999</v>
      </c>
      <c r="K647" s="70">
        <v>1.0640000000000001</v>
      </c>
      <c r="L647" s="44">
        <f t="shared" si="242"/>
        <v>762.5409837499999</v>
      </c>
      <c r="M647" s="47">
        <v>1.07</v>
      </c>
      <c r="N647" s="44">
        <f t="shared" si="229"/>
        <v>712.65512499999988</v>
      </c>
      <c r="O647" s="70">
        <v>1.075</v>
      </c>
      <c r="P647" s="44">
        <f t="shared" si="202"/>
        <v>662.93499999999995</v>
      </c>
      <c r="Q647" s="70">
        <v>1.085</v>
      </c>
      <c r="R647" s="44">
        <v>611</v>
      </c>
      <c r="S647" s="44">
        <f t="shared" ref="S647:U655" si="246">G647*T647</f>
        <v>610.5</v>
      </c>
      <c r="T647" s="50">
        <v>1.1000000000000001</v>
      </c>
      <c r="U647" s="44">
        <f t="shared" si="246"/>
        <v>979.1238500798695</v>
      </c>
      <c r="V647" s="203">
        <f t="shared" ref="V647:V655" si="247">H647*107%</f>
        <v>921.9621940488413</v>
      </c>
      <c r="W647" s="266">
        <f t="shared" ref="W647:W655" si="248">V647</f>
        <v>921.9621940488413</v>
      </c>
      <c r="X647" s="206">
        <f>1182*106.5%</f>
        <v>1258.83</v>
      </c>
    </row>
    <row r="648" spans="1:24" x14ac:dyDescent="0.2">
      <c r="A648" s="363"/>
      <c r="B648" s="33" t="s">
        <v>29</v>
      </c>
      <c r="C648" s="47">
        <v>25.511005761696008</v>
      </c>
      <c r="D648" s="284"/>
      <c r="E648" s="47">
        <f t="shared" si="243"/>
        <v>26.995746297026717</v>
      </c>
      <c r="F648" s="47">
        <v>101.63</v>
      </c>
      <c r="G648" s="44">
        <v>112</v>
      </c>
      <c r="H648" s="53">
        <f t="shared" si="244"/>
        <v>173.45756132586001</v>
      </c>
      <c r="I648" s="70">
        <v>1.0620000000000001</v>
      </c>
      <c r="J648" s="44">
        <f t="shared" si="245"/>
        <v>163.33103703</v>
      </c>
      <c r="K648" s="70">
        <v>1.0640000000000001</v>
      </c>
      <c r="L648" s="44">
        <f t="shared" si="242"/>
        <v>153.50661374999999</v>
      </c>
      <c r="M648" s="47">
        <v>1.07</v>
      </c>
      <c r="N648" s="44">
        <f t="shared" si="229"/>
        <v>143.46412499999997</v>
      </c>
      <c r="O648" s="70">
        <v>1.075</v>
      </c>
      <c r="P648" s="44">
        <f t="shared" si="202"/>
        <v>133.45499999999998</v>
      </c>
      <c r="Q648" s="70">
        <v>1.085</v>
      </c>
      <c r="R648" s="44">
        <v>123</v>
      </c>
      <c r="S648" s="44">
        <f t="shared" si="246"/>
        <v>123.20000000000002</v>
      </c>
      <c r="T648" s="50">
        <v>1.1000000000000001</v>
      </c>
      <c r="U648" s="44">
        <f t="shared" si="246"/>
        <v>197.10676523702779</v>
      </c>
      <c r="V648" s="203">
        <f t="shared" si="247"/>
        <v>185.59959061867022</v>
      </c>
      <c r="W648" s="266">
        <f t="shared" si="248"/>
        <v>185.59959061867022</v>
      </c>
      <c r="X648" s="206">
        <f>238*106.5%</f>
        <v>253.47</v>
      </c>
    </row>
    <row r="649" spans="1:24" x14ac:dyDescent="0.2">
      <c r="A649" s="363"/>
      <c r="B649" s="33" t="s">
        <v>494</v>
      </c>
      <c r="C649" s="47">
        <v>286.02804851712006</v>
      </c>
      <c r="D649" s="284"/>
      <c r="E649" s="47">
        <f t="shared" si="243"/>
        <v>302.67488094081648</v>
      </c>
      <c r="F649" s="47">
        <v>655.26</v>
      </c>
      <c r="G649" s="44">
        <v>721</v>
      </c>
      <c r="H649" s="53">
        <f t="shared" si="244"/>
        <v>1118.30769212526</v>
      </c>
      <c r="I649" s="70">
        <v>1.0620000000000001</v>
      </c>
      <c r="J649" s="44">
        <f t="shared" si="245"/>
        <v>1053.0204257299999</v>
      </c>
      <c r="K649" s="70">
        <v>1.0640000000000001</v>
      </c>
      <c r="L649" s="44">
        <f t="shared" si="242"/>
        <v>989.68085124999993</v>
      </c>
      <c r="M649" s="47">
        <v>1.07</v>
      </c>
      <c r="N649" s="44">
        <f t="shared" si="229"/>
        <v>924.93537499999991</v>
      </c>
      <c r="O649" s="70">
        <v>1.075</v>
      </c>
      <c r="P649" s="44">
        <f t="shared" si="202"/>
        <v>860.40499999999997</v>
      </c>
      <c r="Q649" s="70">
        <v>1.085</v>
      </c>
      <c r="R649" s="44">
        <v>793</v>
      </c>
      <c r="S649" s="44">
        <f t="shared" si="246"/>
        <v>793.1</v>
      </c>
      <c r="T649" s="50">
        <v>1.1000000000000001</v>
      </c>
      <c r="U649" s="44">
        <f t="shared" si="246"/>
        <v>1270.7777628696181</v>
      </c>
      <c r="V649" s="203">
        <f t="shared" si="247"/>
        <v>1196.5892305740283</v>
      </c>
      <c r="W649" s="266">
        <f t="shared" si="248"/>
        <v>1196.5892305740283</v>
      </c>
      <c r="X649" s="206">
        <f>1536*106.5%</f>
        <v>1635.84</v>
      </c>
    </row>
    <row r="650" spans="1:24" x14ac:dyDescent="0.2">
      <c r="A650" s="363"/>
      <c r="B650" s="33" t="s">
        <v>495</v>
      </c>
      <c r="C650" s="47">
        <v>236.06105848416001</v>
      </c>
      <c r="D650" s="284"/>
      <c r="E650" s="47">
        <f t="shared" si="243"/>
        <v>249.79981208793814</v>
      </c>
      <c r="F650" s="47">
        <v>600.58000000000004</v>
      </c>
      <c r="G650" s="44">
        <v>661</v>
      </c>
      <c r="H650" s="53">
        <f t="shared" si="244"/>
        <v>1025.2329031211402</v>
      </c>
      <c r="I650" s="70">
        <v>1.0620000000000001</v>
      </c>
      <c r="J650" s="44">
        <f t="shared" si="245"/>
        <v>965.37938147000011</v>
      </c>
      <c r="K650" s="70">
        <v>1.0640000000000001</v>
      </c>
      <c r="L650" s="44">
        <f t="shared" si="242"/>
        <v>907.31144875000007</v>
      </c>
      <c r="M650" s="47">
        <v>1.07</v>
      </c>
      <c r="N650" s="44">
        <f t="shared" si="229"/>
        <v>847.95462499999996</v>
      </c>
      <c r="O650" s="70">
        <v>1.075</v>
      </c>
      <c r="P650" s="44">
        <f t="shared" si="202"/>
        <v>788.79499999999996</v>
      </c>
      <c r="Q650" s="70">
        <v>1.085</v>
      </c>
      <c r="R650" s="44">
        <v>727</v>
      </c>
      <c r="S650" s="44">
        <f t="shared" si="246"/>
        <v>727.1</v>
      </c>
      <c r="T650" s="50">
        <v>1.1000000000000001</v>
      </c>
      <c r="U650" s="44">
        <f t="shared" si="246"/>
        <v>1165.0131571326765</v>
      </c>
      <c r="V650" s="203">
        <f t="shared" si="247"/>
        <v>1096.9992063396201</v>
      </c>
      <c r="W650" s="266">
        <f t="shared" si="248"/>
        <v>1096.9992063396201</v>
      </c>
      <c r="X650" s="206">
        <f>1407*106.5%</f>
        <v>1498.4549999999999</v>
      </c>
    </row>
    <row r="651" spans="1:24" x14ac:dyDescent="0.2">
      <c r="A651" s="363"/>
      <c r="B651" s="33" t="s">
        <v>496</v>
      </c>
      <c r="C651" s="47">
        <v>313.72236264096006</v>
      </c>
      <c r="D651" s="284"/>
      <c r="E651" s="47">
        <f t="shared" si="243"/>
        <v>331.98100414666396</v>
      </c>
      <c r="F651" s="47">
        <v>561.80999999999995</v>
      </c>
      <c r="G651" s="44">
        <v>618</v>
      </c>
      <c r="H651" s="53">
        <f t="shared" si="244"/>
        <v>958.95237155760003</v>
      </c>
      <c r="I651" s="70">
        <v>1.0620000000000001</v>
      </c>
      <c r="J651" s="44">
        <f t="shared" si="245"/>
        <v>902.96833479999998</v>
      </c>
      <c r="K651" s="70">
        <v>1.0640000000000001</v>
      </c>
      <c r="L651" s="44">
        <f t="shared" si="242"/>
        <v>848.65444999999988</v>
      </c>
      <c r="M651" s="47">
        <v>1.07</v>
      </c>
      <c r="N651" s="44">
        <f t="shared" si="229"/>
        <v>793.13499999999988</v>
      </c>
      <c r="O651" s="70">
        <v>1.075</v>
      </c>
      <c r="P651" s="44">
        <f t="shared" si="202"/>
        <v>737.8</v>
      </c>
      <c r="Q651" s="70">
        <v>1.085</v>
      </c>
      <c r="R651" s="44">
        <v>680</v>
      </c>
      <c r="S651" s="44">
        <f t="shared" si="246"/>
        <v>679.80000000000007</v>
      </c>
      <c r="T651" s="50">
        <v>1.1000000000000001</v>
      </c>
      <c r="U651" s="44">
        <f t="shared" si="246"/>
        <v>1089.6959378957633</v>
      </c>
      <c r="V651" s="203">
        <f t="shared" si="247"/>
        <v>1026.079037566632</v>
      </c>
      <c r="W651" s="266">
        <f t="shared" si="248"/>
        <v>1026.079037566632</v>
      </c>
      <c r="X651" s="206">
        <f>1316*106.5%</f>
        <v>1401.54</v>
      </c>
    </row>
    <row r="652" spans="1:24" x14ac:dyDescent="0.2">
      <c r="A652" s="363"/>
      <c r="B652" s="33" t="s">
        <v>497</v>
      </c>
      <c r="C652" s="47">
        <v>180.52589947392005</v>
      </c>
      <c r="D652" s="284"/>
      <c r="E652" s="47">
        <f t="shared" si="243"/>
        <v>191.03250682330221</v>
      </c>
      <c r="F652" s="47">
        <v>255.92</v>
      </c>
      <c r="G652" s="44">
        <v>282</v>
      </c>
      <c r="H652" s="53">
        <f t="shared" si="244"/>
        <v>437.1694635042</v>
      </c>
      <c r="I652" s="70">
        <v>1.0620000000000001</v>
      </c>
      <c r="J652" s="44">
        <f t="shared" si="245"/>
        <v>411.64732909999998</v>
      </c>
      <c r="K652" s="70">
        <v>1.0640000000000001</v>
      </c>
      <c r="L652" s="44">
        <f t="shared" si="242"/>
        <v>386.88658749999996</v>
      </c>
      <c r="M652" s="47">
        <v>1.07</v>
      </c>
      <c r="N652" s="44">
        <f t="shared" si="229"/>
        <v>361.57624999999996</v>
      </c>
      <c r="O652" s="70">
        <v>1.075</v>
      </c>
      <c r="P652" s="44">
        <f t="shared" si="202"/>
        <v>336.34999999999997</v>
      </c>
      <c r="Q652" s="70">
        <v>1.085</v>
      </c>
      <c r="R652" s="44">
        <v>310</v>
      </c>
      <c r="S652" s="44">
        <f t="shared" si="246"/>
        <v>310.20000000000005</v>
      </c>
      <c r="T652" s="50">
        <v>1.1000000000000001</v>
      </c>
      <c r="U652" s="44">
        <f t="shared" si="246"/>
        <v>496.77314815836269</v>
      </c>
      <c r="V652" s="203">
        <f t="shared" si="247"/>
        <v>467.77132594949404</v>
      </c>
      <c r="W652" s="266">
        <f t="shared" si="248"/>
        <v>467.77132594949404</v>
      </c>
      <c r="X652" s="206">
        <f>600*106.5%</f>
        <v>639</v>
      </c>
    </row>
    <row r="653" spans="1:24" x14ac:dyDescent="0.2">
      <c r="A653" s="363"/>
      <c r="B653" s="55" t="s">
        <v>498</v>
      </c>
      <c r="C653" s="47">
        <v>339.5117768515201</v>
      </c>
      <c r="D653" s="284"/>
      <c r="E653" s="47">
        <f>C653*1.0582</f>
        <v>359.27136226427859</v>
      </c>
      <c r="F653" s="47">
        <v>489</v>
      </c>
      <c r="G653" s="44">
        <v>538</v>
      </c>
      <c r="H653" s="53">
        <f t="shared" si="244"/>
        <v>834.85265288543997</v>
      </c>
      <c r="I653" s="70">
        <v>1.0620000000000001</v>
      </c>
      <c r="J653" s="44">
        <f t="shared" si="245"/>
        <v>786.11360911999998</v>
      </c>
      <c r="K653" s="70">
        <v>1.0640000000000001</v>
      </c>
      <c r="L653" s="44">
        <f t="shared" si="242"/>
        <v>738.82857999999999</v>
      </c>
      <c r="M653" s="47">
        <v>1.07</v>
      </c>
      <c r="N653" s="44">
        <f t="shared" si="229"/>
        <v>690.49399999999991</v>
      </c>
      <c r="O653" s="70">
        <v>1.075</v>
      </c>
      <c r="P653" s="44">
        <f t="shared" si="202"/>
        <v>642.31999999999994</v>
      </c>
      <c r="Q653" s="70">
        <v>1.085</v>
      </c>
      <c r="R653" s="44">
        <v>592</v>
      </c>
      <c r="S653" s="44">
        <f t="shared" si="246"/>
        <v>591.80000000000007</v>
      </c>
      <c r="T653" s="50">
        <v>1.1000000000000001</v>
      </c>
      <c r="U653" s="44">
        <f t="shared" si="246"/>
        <v>948.67646357984086</v>
      </c>
      <c r="V653" s="203">
        <f t="shared" si="247"/>
        <v>893.29233858742077</v>
      </c>
      <c r="W653" s="266">
        <f t="shared" si="248"/>
        <v>893.29233858742077</v>
      </c>
      <c r="X653" s="206">
        <f>1145*106.5%</f>
        <v>1219.425</v>
      </c>
    </row>
    <row r="654" spans="1:24" x14ac:dyDescent="0.2">
      <c r="A654" s="363"/>
      <c r="B654" s="55" t="s">
        <v>445</v>
      </c>
      <c r="C654" s="47">
        <v>156.34832365152005</v>
      </c>
      <c r="D654" s="284"/>
      <c r="E654" s="47">
        <f>C654*1.0582</f>
        <v>165.44779608803853</v>
      </c>
      <c r="F654" s="47">
        <v>549.23</v>
      </c>
      <c r="G654" s="44">
        <v>604</v>
      </c>
      <c r="H654" s="53">
        <f t="shared" si="244"/>
        <v>936.38878634448008</v>
      </c>
      <c r="I654" s="70">
        <v>1.0620000000000001</v>
      </c>
      <c r="J654" s="44">
        <f t="shared" si="245"/>
        <v>881.72202104000007</v>
      </c>
      <c r="K654" s="70">
        <v>1.0640000000000001</v>
      </c>
      <c r="L654" s="44">
        <f t="shared" si="242"/>
        <v>828.68610999999999</v>
      </c>
      <c r="M654" s="47">
        <v>1.07</v>
      </c>
      <c r="N654" s="44">
        <f t="shared" si="229"/>
        <v>774.47299999999996</v>
      </c>
      <c r="O654" s="70">
        <v>1.075</v>
      </c>
      <c r="P654" s="44">
        <f t="shared" si="202"/>
        <v>720.43999999999994</v>
      </c>
      <c r="Q654" s="70">
        <v>1.085</v>
      </c>
      <c r="R654" s="44">
        <v>664</v>
      </c>
      <c r="S654" s="44">
        <f t="shared" si="246"/>
        <v>664.40000000000009</v>
      </c>
      <c r="T654" s="50">
        <v>1.1000000000000001</v>
      </c>
      <c r="U654" s="44">
        <f t="shared" si="246"/>
        <v>1064.0560334746865</v>
      </c>
      <c r="V654" s="203">
        <f t="shared" si="247"/>
        <v>1001.9360013885937</v>
      </c>
      <c r="W654" s="266">
        <f t="shared" si="248"/>
        <v>1001.9360013885937</v>
      </c>
      <c r="X654" s="206">
        <f>1285*106.5%</f>
        <v>1368.5249999999999</v>
      </c>
    </row>
    <row r="655" spans="1:24" x14ac:dyDescent="0.2">
      <c r="A655" s="363"/>
      <c r="B655" s="55" t="s">
        <v>499</v>
      </c>
      <c r="C655" s="47"/>
      <c r="D655" s="284"/>
      <c r="E655" s="47"/>
      <c r="F655" s="47">
        <v>655.26</v>
      </c>
      <c r="G655" s="44">
        <v>721</v>
      </c>
      <c r="H655" s="53">
        <f t="shared" si="244"/>
        <v>1118.30769212526</v>
      </c>
      <c r="I655" s="70">
        <v>1.0620000000000001</v>
      </c>
      <c r="J655" s="44">
        <f t="shared" si="245"/>
        <v>1053.0204257299999</v>
      </c>
      <c r="K655" s="70">
        <v>1.0640000000000001</v>
      </c>
      <c r="L655" s="44">
        <f t="shared" si="242"/>
        <v>989.68085124999993</v>
      </c>
      <c r="M655" s="47">
        <v>1.07</v>
      </c>
      <c r="N655" s="44">
        <f t="shared" si="229"/>
        <v>924.93537499999991</v>
      </c>
      <c r="O655" s="70">
        <v>1.075</v>
      </c>
      <c r="P655" s="44">
        <f t="shared" si="202"/>
        <v>860.40499999999997</v>
      </c>
      <c r="Q655" s="70">
        <v>1.085</v>
      </c>
      <c r="R655" s="44">
        <v>793</v>
      </c>
      <c r="S655" s="44">
        <f t="shared" si="246"/>
        <v>793.1</v>
      </c>
      <c r="T655" s="50">
        <v>1.1000000000000001</v>
      </c>
      <c r="U655" s="44">
        <f t="shared" si="246"/>
        <v>1270.7777628696181</v>
      </c>
      <c r="V655" s="203">
        <f t="shared" si="247"/>
        <v>1196.5892305740283</v>
      </c>
      <c r="W655" s="266">
        <f t="shared" si="248"/>
        <v>1196.5892305740283</v>
      </c>
      <c r="X655" s="206">
        <f>1536*106.5%</f>
        <v>1635.84</v>
      </c>
    </row>
    <row r="656" spans="1:24" x14ac:dyDescent="0.25">
      <c r="A656" s="362" t="s">
        <v>245</v>
      </c>
      <c r="B656" s="384" t="s">
        <v>361</v>
      </c>
      <c r="C656" s="385"/>
      <c r="D656" s="385"/>
      <c r="E656" s="385"/>
      <c r="F656" s="385"/>
      <c r="G656" s="385"/>
      <c r="H656" s="385"/>
      <c r="I656" s="385"/>
      <c r="J656" s="386"/>
      <c r="K656" s="47"/>
      <c r="L656" s="44"/>
      <c r="M656" s="47"/>
      <c r="N656" s="44"/>
      <c r="O656" s="70"/>
      <c r="P656" s="44"/>
      <c r="Q656" s="70"/>
      <c r="R656" s="44"/>
      <c r="S656" s="44"/>
      <c r="T656" s="50"/>
      <c r="U656" s="44"/>
      <c r="V656" s="15"/>
      <c r="X656" s="206"/>
    </row>
    <row r="657" spans="1:24" ht="15.95" customHeight="1" x14ac:dyDescent="0.2">
      <c r="A657" s="363"/>
      <c r="B657" s="104" t="s">
        <v>500</v>
      </c>
      <c r="C657" s="47">
        <v>3362.1483469392006</v>
      </c>
      <c r="D657" s="284"/>
      <c r="E657" s="47">
        <f>C657*1.0582</f>
        <v>3557.8253807310621</v>
      </c>
      <c r="F657" s="47">
        <v>4846</v>
      </c>
      <c r="G657" s="44">
        <v>5331</v>
      </c>
      <c r="H657" s="53">
        <f>J657*I657</f>
        <v>8269.5539806084798</v>
      </c>
      <c r="I657" s="70">
        <v>1.0620000000000001</v>
      </c>
      <c r="J657" s="44">
        <f>K657*L657</f>
        <v>7786.7739930400003</v>
      </c>
      <c r="K657" s="70">
        <v>1.0640000000000001</v>
      </c>
      <c r="L657" s="44">
        <f t="shared" si="242"/>
        <v>7318.3966099999998</v>
      </c>
      <c r="M657" s="47">
        <v>1.07</v>
      </c>
      <c r="N657" s="44">
        <f t="shared" si="229"/>
        <v>6839.6229999999996</v>
      </c>
      <c r="O657" s="70">
        <v>1.075</v>
      </c>
      <c r="P657" s="44">
        <f t="shared" ref="P657:P717" si="249">Q657*R657</f>
        <v>6362.44</v>
      </c>
      <c r="Q657" s="70">
        <v>1.085</v>
      </c>
      <c r="R657" s="44">
        <v>5864</v>
      </c>
      <c r="S657" s="44">
        <f>G657*T657</f>
        <v>5864.1</v>
      </c>
      <c r="T657" s="50">
        <v>1.1000000000000001</v>
      </c>
      <c r="U657" s="44">
        <f>I657*V657</f>
        <v>9397.0249703246409</v>
      </c>
      <c r="V657" s="203">
        <f>H657*107%</f>
        <v>8848.4227592510742</v>
      </c>
      <c r="W657" s="266">
        <f>V657</f>
        <v>8848.4227592510742</v>
      </c>
      <c r="X657" s="206">
        <f>11346*106.5%</f>
        <v>12083.49</v>
      </c>
    </row>
    <row r="658" spans="1:24" ht="15" customHeight="1" x14ac:dyDescent="0.25">
      <c r="A658" s="362" t="s">
        <v>246</v>
      </c>
      <c r="B658" s="384" t="s">
        <v>371</v>
      </c>
      <c r="C658" s="385"/>
      <c r="D658" s="385"/>
      <c r="E658" s="385"/>
      <c r="F658" s="385"/>
      <c r="G658" s="385"/>
      <c r="H658" s="385"/>
      <c r="I658" s="385"/>
      <c r="J658" s="386"/>
      <c r="K658" s="47"/>
      <c r="L658" s="44"/>
      <c r="M658" s="47"/>
      <c r="N658" s="44"/>
      <c r="O658" s="70"/>
      <c r="P658" s="44"/>
      <c r="Q658" s="70"/>
      <c r="R658" s="44"/>
      <c r="S658" s="44"/>
      <c r="T658" s="50"/>
      <c r="U658" s="44"/>
      <c r="V658" s="15"/>
      <c r="X658" s="206"/>
    </row>
    <row r="659" spans="1:24" ht="15" customHeight="1" x14ac:dyDescent="0.2">
      <c r="A659" s="363"/>
      <c r="B659" s="55" t="s">
        <v>466</v>
      </c>
      <c r="C659" s="47">
        <v>213.20225952480004</v>
      </c>
      <c r="D659" s="284"/>
      <c r="E659" s="47">
        <f t="shared" ref="E659:E670" si="250">C659*1.0582</f>
        <v>225.61063102914341</v>
      </c>
      <c r="F659" s="47">
        <v>254.54</v>
      </c>
      <c r="G659" s="44">
        <v>281</v>
      </c>
      <c r="H659" s="53">
        <f t="shared" ref="H659:H670" si="251">J659*I659</f>
        <v>435.75923942837994</v>
      </c>
      <c r="I659" s="70">
        <v>1.0620000000000001</v>
      </c>
      <c r="J659" s="44">
        <f t="shared" ref="J659:J670" si="252">K659*L659</f>
        <v>410.31943448999994</v>
      </c>
      <c r="K659" s="70">
        <v>1.0640000000000001</v>
      </c>
      <c r="L659" s="44">
        <f t="shared" si="242"/>
        <v>385.63856624999994</v>
      </c>
      <c r="M659" s="47">
        <v>1.07</v>
      </c>
      <c r="N659" s="44">
        <f t="shared" si="229"/>
        <v>360.40987499999994</v>
      </c>
      <c r="O659" s="70">
        <v>1.075</v>
      </c>
      <c r="P659" s="44">
        <f t="shared" si="249"/>
        <v>335.26499999999999</v>
      </c>
      <c r="Q659" s="70">
        <v>1.085</v>
      </c>
      <c r="R659" s="44">
        <v>309</v>
      </c>
      <c r="S659" s="44">
        <f t="shared" ref="S659:U670" si="253">G659*T659</f>
        <v>309.10000000000002</v>
      </c>
      <c r="T659" s="50">
        <v>1.1000000000000001</v>
      </c>
      <c r="U659" s="44">
        <f t="shared" si="253"/>
        <v>495.17065413204534</v>
      </c>
      <c r="V659" s="203">
        <f t="shared" ref="V659:V670" si="254">H659*107%</f>
        <v>466.26238618836658</v>
      </c>
      <c r="W659" s="266">
        <f t="shared" ref="W659:W670" si="255">V659</f>
        <v>466.26238618836658</v>
      </c>
      <c r="X659" s="206">
        <f>597*106.5%</f>
        <v>635.80499999999995</v>
      </c>
    </row>
    <row r="660" spans="1:24" ht="15" customHeight="1" x14ac:dyDescent="0.2">
      <c r="A660" s="363"/>
      <c r="B660" s="55" t="s">
        <v>469</v>
      </c>
      <c r="C660" s="47">
        <v>213.20225952480004</v>
      </c>
      <c r="D660" s="284"/>
      <c r="E660" s="47">
        <f t="shared" si="250"/>
        <v>225.61063102914341</v>
      </c>
      <c r="F660" s="47">
        <v>254.54</v>
      </c>
      <c r="G660" s="44">
        <v>281</v>
      </c>
      <c r="H660" s="53">
        <f t="shared" si="251"/>
        <v>435.75923942837994</v>
      </c>
      <c r="I660" s="70">
        <v>1.0620000000000001</v>
      </c>
      <c r="J660" s="44">
        <f t="shared" si="252"/>
        <v>410.31943448999994</v>
      </c>
      <c r="K660" s="70">
        <v>1.0640000000000001</v>
      </c>
      <c r="L660" s="44">
        <f t="shared" si="242"/>
        <v>385.63856624999994</v>
      </c>
      <c r="M660" s="47">
        <v>1.07</v>
      </c>
      <c r="N660" s="44">
        <f t="shared" si="229"/>
        <v>360.40987499999994</v>
      </c>
      <c r="O660" s="70">
        <v>1.075</v>
      </c>
      <c r="P660" s="44">
        <f t="shared" si="249"/>
        <v>335.26499999999999</v>
      </c>
      <c r="Q660" s="70">
        <v>1.085</v>
      </c>
      <c r="R660" s="44">
        <v>309</v>
      </c>
      <c r="S660" s="44">
        <f t="shared" si="253"/>
        <v>309.10000000000002</v>
      </c>
      <c r="T660" s="50">
        <v>1.1000000000000001</v>
      </c>
      <c r="U660" s="44">
        <f t="shared" si="253"/>
        <v>495.17065413204534</v>
      </c>
      <c r="V660" s="203">
        <f t="shared" si="254"/>
        <v>466.26238618836658</v>
      </c>
      <c r="W660" s="266">
        <f t="shared" si="255"/>
        <v>466.26238618836658</v>
      </c>
      <c r="X660" s="206">
        <f t="shared" ref="X660:X665" si="256">597*106.5%</f>
        <v>635.80499999999995</v>
      </c>
    </row>
    <row r="661" spans="1:24" ht="15" customHeight="1" x14ac:dyDescent="0.2">
      <c r="A661" s="363"/>
      <c r="B661" s="55" t="s">
        <v>465</v>
      </c>
      <c r="C661" s="47">
        <v>213.20225952480004</v>
      </c>
      <c r="D661" s="284"/>
      <c r="E661" s="47">
        <f t="shared" si="250"/>
        <v>225.61063102914341</v>
      </c>
      <c r="F661" s="47">
        <v>254.54</v>
      </c>
      <c r="G661" s="44">
        <v>281</v>
      </c>
      <c r="H661" s="53">
        <f t="shared" si="251"/>
        <v>435.90026183596211</v>
      </c>
      <c r="I661" s="70">
        <v>1.0620000000000001</v>
      </c>
      <c r="J661" s="44">
        <f t="shared" si="252"/>
        <v>410.45222395100006</v>
      </c>
      <c r="K661" s="70">
        <v>1.0640000000000001</v>
      </c>
      <c r="L661" s="44">
        <f t="shared" si="242"/>
        <v>385.76336837500003</v>
      </c>
      <c r="M661" s="47">
        <v>1.07</v>
      </c>
      <c r="N661" s="44">
        <f t="shared" si="229"/>
        <v>360.52651250000002</v>
      </c>
      <c r="O661" s="70">
        <v>1.075</v>
      </c>
      <c r="P661" s="44">
        <f t="shared" si="249"/>
        <v>335.37350000000004</v>
      </c>
      <c r="Q661" s="70">
        <v>1.085</v>
      </c>
      <c r="R661" s="44">
        <f>S661</f>
        <v>309.10000000000002</v>
      </c>
      <c r="S661" s="44">
        <f t="shared" si="253"/>
        <v>309.10000000000002</v>
      </c>
      <c r="T661" s="50">
        <v>1.1000000000000001</v>
      </c>
      <c r="U661" s="44">
        <f t="shared" si="253"/>
        <v>495.33090353467725</v>
      </c>
      <c r="V661" s="203">
        <f t="shared" si="254"/>
        <v>466.41328016447949</v>
      </c>
      <c r="W661" s="266">
        <f t="shared" si="255"/>
        <v>466.41328016447949</v>
      </c>
      <c r="X661" s="206">
        <f t="shared" si="256"/>
        <v>635.80499999999995</v>
      </c>
    </row>
    <row r="662" spans="1:24" ht="15" customHeight="1" x14ac:dyDescent="0.2">
      <c r="A662" s="363"/>
      <c r="B662" s="55" t="s">
        <v>462</v>
      </c>
      <c r="C662" s="47">
        <v>213.20225952480004</v>
      </c>
      <c r="D662" s="284"/>
      <c r="E662" s="47">
        <f t="shared" si="250"/>
        <v>225.61063102914341</v>
      </c>
      <c r="F662" s="47">
        <v>254.54</v>
      </c>
      <c r="G662" s="44">
        <v>281</v>
      </c>
      <c r="H662" s="53">
        <f t="shared" si="251"/>
        <v>435.90026183596211</v>
      </c>
      <c r="I662" s="70">
        <v>1.0620000000000001</v>
      </c>
      <c r="J662" s="44">
        <f t="shared" si="252"/>
        <v>410.45222395100006</v>
      </c>
      <c r="K662" s="70">
        <v>1.0640000000000001</v>
      </c>
      <c r="L662" s="44">
        <f t="shared" si="242"/>
        <v>385.76336837500003</v>
      </c>
      <c r="M662" s="47">
        <v>1.07</v>
      </c>
      <c r="N662" s="44">
        <f t="shared" si="229"/>
        <v>360.52651250000002</v>
      </c>
      <c r="O662" s="70">
        <v>1.075</v>
      </c>
      <c r="P662" s="44">
        <f t="shared" si="249"/>
        <v>335.37350000000004</v>
      </c>
      <c r="Q662" s="70">
        <v>1.085</v>
      </c>
      <c r="R662" s="44">
        <f>S662</f>
        <v>309.10000000000002</v>
      </c>
      <c r="S662" s="44">
        <f t="shared" si="253"/>
        <v>309.10000000000002</v>
      </c>
      <c r="T662" s="50">
        <v>1.1000000000000001</v>
      </c>
      <c r="U662" s="44">
        <f t="shared" si="253"/>
        <v>495.33090353467725</v>
      </c>
      <c r="V662" s="203">
        <f t="shared" si="254"/>
        <v>466.41328016447949</v>
      </c>
      <c r="W662" s="266">
        <f t="shared" si="255"/>
        <v>466.41328016447949</v>
      </c>
      <c r="X662" s="206">
        <f t="shared" si="256"/>
        <v>635.80499999999995</v>
      </c>
    </row>
    <row r="663" spans="1:24" ht="15" customHeight="1" x14ac:dyDescent="0.2">
      <c r="A663" s="363"/>
      <c r="B663" s="55" t="s">
        <v>467</v>
      </c>
      <c r="C663" s="47">
        <v>238.69861221024004</v>
      </c>
      <c r="D663" s="284"/>
      <c r="E663" s="47">
        <f t="shared" si="250"/>
        <v>252.59087144087601</v>
      </c>
      <c r="F663" s="47">
        <v>254.54</v>
      </c>
      <c r="G663" s="44">
        <v>281</v>
      </c>
      <c r="H663" s="53">
        <f t="shared" si="251"/>
        <v>435.90026183596211</v>
      </c>
      <c r="I663" s="70">
        <v>1.0620000000000001</v>
      </c>
      <c r="J663" s="44">
        <f t="shared" si="252"/>
        <v>410.45222395100006</v>
      </c>
      <c r="K663" s="70">
        <v>1.0640000000000001</v>
      </c>
      <c r="L663" s="44">
        <f t="shared" si="242"/>
        <v>385.76336837500003</v>
      </c>
      <c r="M663" s="47">
        <v>1.07</v>
      </c>
      <c r="N663" s="44">
        <f t="shared" si="229"/>
        <v>360.52651250000002</v>
      </c>
      <c r="O663" s="70">
        <v>1.075</v>
      </c>
      <c r="P663" s="44">
        <f t="shared" si="249"/>
        <v>335.37350000000004</v>
      </c>
      <c r="Q663" s="70">
        <v>1.085</v>
      </c>
      <c r="R663" s="44">
        <f>S663</f>
        <v>309.10000000000002</v>
      </c>
      <c r="S663" s="44">
        <f t="shared" si="253"/>
        <v>309.10000000000002</v>
      </c>
      <c r="T663" s="50">
        <v>1.1000000000000001</v>
      </c>
      <c r="U663" s="44">
        <f t="shared" si="253"/>
        <v>495.33090353467725</v>
      </c>
      <c r="V663" s="203">
        <f t="shared" si="254"/>
        <v>466.41328016447949</v>
      </c>
      <c r="W663" s="266">
        <f t="shared" si="255"/>
        <v>466.41328016447949</v>
      </c>
      <c r="X663" s="206">
        <f t="shared" si="256"/>
        <v>635.80499999999995</v>
      </c>
    </row>
    <row r="664" spans="1:24" ht="15" customHeight="1" x14ac:dyDescent="0.2">
      <c r="A664" s="363"/>
      <c r="B664" s="55" t="s">
        <v>463</v>
      </c>
      <c r="C664" s="47">
        <v>188.43856065216005</v>
      </c>
      <c r="D664" s="284"/>
      <c r="E664" s="47">
        <f t="shared" si="250"/>
        <v>199.40568488211576</v>
      </c>
      <c r="F664" s="47">
        <v>254.54</v>
      </c>
      <c r="G664" s="44">
        <v>281</v>
      </c>
      <c r="H664" s="53">
        <f t="shared" si="251"/>
        <v>435.90026183596211</v>
      </c>
      <c r="I664" s="70">
        <v>1.0620000000000001</v>
      </c>
      <c r="J664" s="44">
        <f t="shared" si="252"/>
        <v>410.45222395100006</v>
      </c>
      <c r="K664" s="70">
        <v>1.0640000000000001</v>
      </c>
      <c r="L664" s="44">
        <f t="shared" si="242"/>
        <v>385.76336837500003</v>
      </c>
      <c r="M664" s="47">
        <v>1.07</v>
      </c>
      <c r="N664" s="44">
        <f t="shared" si="229"/>
        <v>360.52651250000002</v>
      </c>
      <c r="O664" s="70">
        <v>1.075</v>
      </c>
      <c r="P664" s="44">
        <f t="shared" si="249"/>
        <v>335.37350000000004</v>
      </c>
      <c r="Q664" s="70">
        <v>1.085</v>
      </c>
      <c r="R664" s="44">
        <f>S664</f>
        <v>309.10000000000002</v>
      </c>
      <c r="S664" s="44">
        <f t="shared" si="253"/>
        <v>309.10000000000002</v>
      </c>
      <c r="T664" s="50">
        <v>1.1000000000000001</v>
      </c>
      <c r="U664" s="44">
        <f t="shared" si="253"/>
        <v>495.33090353467725</v>
      </c>
      <c r="V664" s="203">
        <f t="shared" si="254"/>
        <v>466.41328016447949</v>
      </c>
      <c r="W664" s="266">
        <f t="shared" si="255"/>
        <v>466.41328016447949</v>
      </c>
      <c r="X664" s="206">
        <f t="shared" si="256"/>
        <v>635.80499999999995</v>
      </c>
    </row>
    <row r="665" spans="1:24" ht="15" customHeight="1" x14ac:dyDescent="0.2">
      <c r="A665" s="363"/>
      <c r="B665" s="55" t="s">
        <v>468</v>
      </c>
      <c r="C665" s="47">
        <v>188.43856065216005</v>
      </c>
      <c r="D665" s="284"/>
      <c r="E665" s="47">
        <f t="shared" si="250"/>
        <v>199.40568488211576</v>
      </c>
      <c r="F665" s="47">
        <v>254.54</v>
      </c>
      <c r="G665" s="44">
        <v>281</v>
      </c>
      <c r="H665" s="53">
        <f t="shared" si="251"/>
        <v>435.90026183596211</v>
      </c>
      <c r="I665" s="70">
        <v>1.0620000000000001</v>
      </c>
      <c r="J665" s="44">
        <f t="shared" si="252"/>
        <v>410.45222395100006</v>
      </c>
      <c r="K665" s="70">
        <v>1.0640000000000001</v>
      </c>
      <c r="L665" s="44">
        <f t="shared" si="242"/>
        <v>385.76336837500003</v>
      </c>
      <c r="M665" s="47">
        <v>1.07</v>
      </c>
      <c r="N665" s="44">
        <f t="shared" si="229"/>
        <v>360.52651250000002</v>
      </c>
      <c r="O665" s="70">
        <v>1.075</v>
      </c>
      <c r="P665" s="44">
        <f t="shared" si="249"/>
        <v>335.37350000000004</v>
      </c>
      <c r="Q665" s="70">
        <v>1.085</v>
      </c>
      <c r="R665" s="44">
        <f>S665</f>
        <v>309.10000000000002</v>
      </c>
      <c r="S665" s="44">
        <f t="shared" si="253"/>
        <v>309.10000000000002</v>
      </c>
      <c r="T665" s="50">
        <v>1.1000000000000001</v>
      </c>
      <c r="U665" s="44">
        <f t="shared" si="253"/>
        <v>495.33090353467725</v>
      </c>
      <c r="V665" s="203">
        <f t="shared" si="254"/>
        <v>466.41328016447949</v>
      </c>
      <c r="W665" s="266">
        <f t="shared" si="255"/>
        <v>466.41328016447949</v>
      </c>
      <c r="X665" s="206">
        <f t="shared" si="256"/>
        <v>635.80499999999995</v>
      </c>
    </row>
    <row r="666" spans="1:24" ht="15" customHeight="1" x14ac:dyDescent="0.2">
      <c r="A666" s="363"/>
      <c r="B666" s="55" t="s">
        <v>449</v>
      </c>
      <c r="C666" s="47">
        <v>524.58012996480011</v>
      </c>
      <c r="D666" s="284"/>
      <c r="E666" s="47">
        <f t="shared" si="250"/>
        <v>555.11069352875154</v>
      </c>
      <c r="F666" s="47">
        <v>793.63</v>
      </c>
      <c r="G666" s="44">
        <v>874</v>
      </c>
      <c r="H666" s="53">
        <f t="shared" si="251"/>
        <v>1355.2253368630199</v>
      </c>
      <c r="I666" s="70">
        <v>1.0620000000000001</v>
      </c>
      <c r="J666" s="44">
        <f t="shared" si="252"/>
        <v>1276.1067202099998</v>
      </c>
      <c r="K666" s="70">
        <v>1.0640000000000001</v>
      </c>
      <c r="L666" s="44">
        <f t="shared" si="242"/>
        <v>1199.3484212499998</v>
      </c>
      <c r="M666" s="47">
        <v>1.07</v>
      </c>
      <c r="N666" s="44">
        <f t="shared" si="229"/>
        <v>1120.8863749999998</v>
      </c>
      <c r="O666" s="70">
        <v>1.075</v>
      </c>
      <c r="P666" s="44">
        <f t="shared" si="249"/>
        <v>1042.6849999999999</v>
      </c>
      <c r="Q666" s="70">
        <v>1.085</v>
      </c>
      <c r="R666" s="44">
        <v>961</v>
      </c>
      <c r="S666" s="44">
        <f t="shared" si="253"/>
        <v>961.40000000000009</v>
      </c>
      <c r="T666" s="50">
        <v>1.1000000000000001</v>
      </c>
      <c r="U666" s="44">
        <f t="shared" si="253"/>
        <v>1539.9967592909243</v>
      </c>
      <c r="V666" s="203">
        <f t="shared" si="254"/>
        <v>1450.0911104434315</v>
      </c>
      <c r="W666" s="266">
        <f t="shared" si="255"/>
        <v>1450.0911104434315</v>
      </c>
      <c r="X666" s="206">
        <f>1860*106.5%</f>
        <v>1980.8999999999999</v>
      </c>
    </row>
    <row r="667" spans="1:24" ht="15" customHeight="1" x14ac:dyDescent="0.2">
      <c r="A667" s="363"/>
      <c r="B667" s="55" t="s">
        <v>501</v>
      </c>
      <c r="C667" s="47">
        <v>286.90723309248006</v>
      </c>
      <c r="D667" s="284"/>
      <c r="E667" s="47">
        <f t="shared" si="250"/>
        <v>303.60523405846243</v>
      </c>
      <c r="F667" s="47">
        <f>E667*1.092</f>
        <v>331.53691559184102</v>
      </c>
      <c r="G667" s="44">
        <v>365</v>
      </c>
      <c r="H667" s="53">
        <f t="shared" si="251"/>
        <v>566.91007847963999</v>
      </c>
      <c r="I667" s="70">
        <v>1.0620000000000001</v>
      </c>
      <c r="J667" s="44">
        <f t="shared" si="252"/>
        <v>533.81363321999993</v>
      </c>
      <c r="K667" s="70">
        <v>1.0640000000000001</v>
      </c>
      <c r="L667" s="44">
        <f t="shared" si="242"/>
        <v>501.70454249999995</v>
      </c>
      <c r="M667" s="47">
        <v>1.07</v>
      </c>
      <c r="N667" s="44">
        <f t="shared" si="229"/>
        <v>468.88274999999993</v>
      </c>
      <c r="O667" s="70">
        <v>1.075</v>
      </c>
      <c r="P667" s="44">
        <f t="shared" si="249"/>
        <v>436.16999999999996</v>
      </c>
      <c r="Q667" s="70">
        <v>1.085</v>
      </c>
      <c r="R667" s="44">
        <v>402</v>
      </c>
      <c r="S667" s="44">
        <f t="shared" si="253"/>
        <v>401.50000000000006</v>
      </c>
      <c r="T667" s="50">
        <v>1.1000000000000001</v>
      </c>
      <c r="U667" s="44">
        <f t="shared" si="253"/>
        <v>644.20259857955421</v>
      </c>
      <c r="V667" s="203">
        <f t="shared" si="254"/>
        <v>606.59378397321484</v>
      </c>
      <c r="W667" s="266">
        <f t="shared" si="255"/>
        <v>606.59378397321484</v>
      </c>
      <c r="X667" s="206">
        <f>778*106.5%</f>
        <v>828.56999999999994</v>
      </c>
    </row>
    <row r="668" spans="1:24" ht="15" customHeight="1" x14ac:dyDescent="0.2">
      <c r="A668" s="363"/>
      <c r="B668" s="55" t="s">
        <v>461</v>
      </c>
      <c r="C668" s="47">
        <v>79.624816375104004</v>
      </c>
      <c r="D668" s="284"/>
      <c r="E668" s="47">
        <f t="shared" si="250"/>
        <v>84.258980688135054</v>
      </c>
      <c r="F668" s="47">
        <v>280.25</v>
      </c>
      <c r="G668" s="44">
        <v>308</v>
      </c>
      <c r="H668" s="53">
        <f t="shared" si="251"/>
        <v>478.06596170298002</v>
      </c>
      <c r="I668" s="70">
        <v>1.0620000000000001</v>
      </c>
      <c r="J668" s="44">
        <f t="shared" si="252"/>
        <v>450.15627279</v>
      </c>
      <c r="K668" s="70">
        <v>1.0640000000000001</v>
      </c>
      <c r="L668" s="44">
        <f t="shared" si="242"/>
        <v>423.07920374999998</v>
      </c>
      <c r="M668" s="47">
        <v>1.07</v>
      </c>
      <c r="N668" s="44">
        <f t="shared" si="229"/>
        <v>395.40112499999998</v>
      </c>
      <c r="O668" s="70">
        <v>1.075</v>
      </c>
      <c r="P668" s="44">
        <f t="shared" si="249"/>
        <v>367.815</v>
      </c>
      <c r="Q668" s="70">
        <v>1.085</v>
      </c>
      <c r="R668" s="44">
        <v>339</v>
      </c>
      <c r="S668" s="44">
        <f t="shared" si="253"/>
        <v>338.8</v>
      </c>
      <c r="T668" s="50">
        <v>1.1000000000000001</v>
      </c>
      <c r="U668" s="44">
        <f t="shared" si="253"/>
        <v>543.24547492156432</v>
      </c>
      <c r="V668" s="203">
        <f t="shared" si="254"/>
        <v>511.53057902218865</v>
      </c>
      <c r="W668" s="266">
        <f t="shared" si="255"/>
        <v>511.53057902218865</v>
      </c>
      <c r="X668" s="206">
        <f>656*106.5%</f>
        <v>698.64</v>
      </c>
    </row>
    <row r="669" spans="1:24" ht="15" customHeight="1" x14ac:dyDescent="0.2">
      <c r="A669" s="363"/>
      <c r="B669" s="55" t="s">
        <v>450</v>
      </c>
      <c r="C669" s="47">
        <v>79.624816375104004</v>
      </c>
      <c r="D669" s="284"/>
      <c r="E669" s="47">
        <f t="shared" si="250"/>
        <v>84.258980688135054</v>
      </c>
      <c r="F669" s="47">
        <v>254.54</v>
      </c>
      <c r="G669" s="44">
        <v>281</v>
      </c>
      <c r="H669" s="53">
        <f t="shared" si="251"/>
        <v>435.75923942837994</v>
      </c>
      <c r="I669" s="70">
        <v>1.0620000000000001</v>
      </c>
      <c r="J669" s="44">
        <f t="shared" si="252"/>
        <v>410.31943448999994</v>
      </c>
      <c r="K669" s="70">
        <v>1.0640000000000001</v>
      </c>
      <c r="L669" s="44">
        <f t="shared" si="242"/>
        <v>385.63856624999994</v>
      </c>
      <c r="M669" s="47">
        <v>1.07</v>
      </c>
      <c r="N669" s="44">
        <f t="shared" si="229"/>
        <v>360.40987499999994</v>
      </c>
      <c r="O669" s="70">
        <v>1.075</v>
      </c>
      <c r="P669" s="44">
        <f t="shared" si="249"/>
        <v>335.26499999999999</v>
      </c>
      <c r="Q669" s="70">
        <v>1.085</v>
      </c>
      <c r="R669" s="44">
        <v>309</v>
      </c>
      <c r="S669" s="44">
        <f t="shared" si="253"/>
        <v>309.10000000000002</v>
      </c>
      <c r="T669" s="50">
        <v>1.1000000000000001</v>
      </c>
      <c r="U669" s="44">
        <f t="shared" si="253"/>
        <v>495.17065413204534</v>
      </c>
      <c r="V669" s="203">
        <f t="shared" si="254"/>
        <v>466.26238618836658</v>
      </c>
      <c r="W669" s="266">
        <f t="shared" si="255"/>
        <v>466.26238618836658</v>
      </c>
      <c r="X669" s="206">
        <f>597*106.5%</f>
        <v>635.80499999999995</v>
      </c>
    </row>
    <row r="670" spans="1:24" ht="15" customHeight="1" x14ac:dyDescent="0.2">
      <c r="A670" s="363"/>
      <c r="B670" s="128" t="s">
        <v>502</v>
      </c>
      <c r="C670" s="47">
        <v>15.209893153728004</v>
      </c>
      <c r="D670" s="284"/>
      <c r="E670" s="47">
        <f t="shared" si="250"/>
        <v>16.095108935274975</v>
      </c>
      <c r="F670" s="47">
        <v>22</v>
      </c>
      <c r="G670" s="44">
        <v>24</v>
      </c>
      <c r="H670" s="53">
        <f t="shared" si="251"/>
        <v>36.665825971319997</v>
      </c>
      <c r="I670" s="70">
        <v>1.0620000000000001</v>
      </c>
      <c r="J670" s="44">
        <f t="shared" si="252"/>
        <v>34.525259859999998</v>
      </c>
      <c r="K670" s="70">
        <v>1.0640000000000001</v>
      </c>
      <c r="L670" s="44">
        <f t="shared" si="242"/>
        <v>32.448552499999998</v>
      </c>
      <c r="M670" s="47">
        <v>1.07</v>
      </c>
      <c r="N670" s="44">
        <f t="shared" si="229"/>
        <v>30.325749999999999</v>
      </c>
      <c r="O670" s="70">
        <v>1.075</v>
      </c>
      <c r="P670" s="44">
        <f t="shared" si="249"/>
        <v>28.21</v>
      </c>
      <c r="Q670" s="70">
        <v>1.085</v>
      </c>
      <c r="R670" s="44">
        <v>26</v>
      </c>
      <c r="S670" s="44">
        <f t="shared" si="253"/>
        <v>26.400000000000002</v>
      </c>
      <c r="T670" s="50">
        <v>1.1000000000000001</v>
      </c>
      <c r="U670" s="44">
        <f t="shared" si="253"/>
        <v>41.664844684249765</v>
      </c>
      <c r="V670" s="203">
        <f t="shared" si="254"/>
        <v>39.232433789312395</v>
      </c>
      <c r="W670" s="266">
        <f t="shared" si="255"/>
        <v>39.232433789312395</v>
      </c>
      <c r="X670" s="206">
        <f>50*106.5%</f>
        <v>53.25</v>
      </c>
    </row>
    <row r="671" spans="1:24" ht="14.1" customHeight="1" x14ac:dyDescent="0.25">
      <c r="A671" s="362" t="s">
        <v>247</v>
      </c>
      <c r="B671" s="384" t="s">
        <v>893</v>
      </c>
      <c r="C671" s="385"/>
      <c r="D671" s="385"/>
      <c r="E671" s="385"/>
      <c r="F671" s="385"/>
      <c r="G671" s="385"/>
      <c r="H671" s="385"/>
      <c r="I671" s="385"/>
      <c r="J671" s="386"/>
      <c r="K671" s="47"/>
      <c r="L671" s="44"/>
      <c r="M671" s="47"/>
      <c r="N671" s="44"/>
      <c r="O671" s="70"/>
      <c r="P671" s="44"/>
      <c r="Q671" s="70"/>
      <c r="R671" s="44"/>
      <c r="S671" s="44"/>
      <c r="T671" s="50"/>
      <c r="U671" s="44"/>
      <c r="V671" s="15"/>
      <c r="X671" s="206"/>
    </row>
    <row r="672" spans="1:24" ht="14.1" customHeight="1" x14ac:dyDescent="0.2">
      <c r="A672" s="363"/>
      <c r="B672" s="55" t="s">
        <v>894</v>
      </c>
      <c r="C672" s="47">
        <v>530.44136046720007</v>
      </c>
      <c r="D672" s="284"/>
      <c r="E672" s="47">
        <f>C672*1.0582</f>
        <v>561.31304764639117</v>
      </c>
      <c r="F672" s="47">
        <v>763.2</v>
      </c>
      <c r="G672" s="44">
        <v>839</v>
      </c>
      <c r="H672" s="53">
        <f>J672*I672</f>
        <v>1301.6368219818601</v>
      </c>
      <c r="I672" s="70">
        <v>1.0620000000000001</v>
      </c>
      <c r="J672" s="44">
        <f>K672*L672</f>
        <v>1225.64672503</v>
      </c>
      <c r="K672" s="70">
        <v>1.0640000000000001</v>
      </c>
      <c r="L672" s="44">
        <f t="shared" si="242"/>
        <v>1151.92361375</v>
      </c>
      <c r="M672" s="47">
        <v>1.07</v>
      </c>
      <c r="N672" s="44">
        <f t="shared" si="229"/>
        <v>1076.5641249999999</v>
      </c>
      <c r="O672" s="70">
        <v>1.075</v>
      </c>
      <c r="P672" s="44">
        <f t="shared" si="249"/>
        <v>1001.4549999999999</v>
      </c>
      <c r="Q672" s="70">
        <v>1.085</v>
      </c>
      <c r="R672" s="44">
        <v>923</v>
      </c>
      <c r="S672" s="44">
        <f>G672*T672</f>
        <v>922.90000000000009</v>
      </c>
      <c r="T672" s="50">
        <v>1.1000000000000001</v>
      </c>
      <c r="U672" s="44">
        <f>I672*V672</f>
        <v>1479.1019862908672</v>
      </c>
      <c r="V672" s="203">
        <f>H672*107%</f>
        <v>1392.7513995205904</v>
      </c>
      <c r="W672" s="266">
        <f>V672</f>
        <v>1392.7513995205904</v>
      </c>
      <c r="X672" s="206">
        <f>1787*106.5%</f>
        <v>1903.155</v>
      </c>
    </row>
    <row r="673" spans="1:24" ht="14.1" customHeight="1" x14ac:dyDescent="0.2">
      <c r="A673" s="363"/>
      <c r="B673" s="55" t="s">
        <v>895</v>
      </c>
      <c r="C673" s="47">
        <v>530.44136046720007</v>
      </c>
      <c r="D673" s="284"/>
      <c r="E673" s="47">
        <f>C673*1.0582</f>
        <v>561.31304764639117</v>
      </c>
      <c r="F673" s="47">
        <v>763.2</v>
      </c>
      <c r="G673" s="44">
        <v>839</v>
      </c>
      <c r="H673" s="53">
        <v>1302</v>
      </c>
      <c r="I673" s="70">
        <v>1.0620000000000001</v>
      </c>
      <c r="J673" s="44">
        <f>K673*L673</f>
        <v>1225.5139355690001</v>
      </c>
      <c r="K673" s="70">
        <v>1.0640000000000001</v>
      </c>
      <c r="L673" s="44">
        <f t="shared" si="242"/>
        <v>1151.7988116250001</v>
      </c>
      <c r="M673" s="47">
        <v>1.07</v>
      </c>
      <c r="N673" s="44">
        <f t="shared" si="229"/>
        <v>1076.4474875000001</v>
      </c>
      <c r="O673" s="70">
        <v>1.075</v>
      </c>
      <c r="P673" s="44">
        <f t="shared" si="249"/>
        <v>1001.3465000000001</v>
      </c>
      <c r="Q673" s="70">
        <v>1.085</v>
      </c>
      <c r="R673" s="44">
        <f>S673</f>
        <v>922.90000000000009</v>
      </c>
      <c r="S673" s="44">
        <f>G673*T673</f>
        <v>922.90000000000009</v>
      </c>
      <c r="T673" s="50">
        <v>1.1000000000000001</v>
      </c>
      <c r="U673" s="44">
        <f>I673*V673</f>
        <v>1479.5146800000002</v>
      </c>
      <c r="V673" s="203">
        <f>H673*107%</f>
        <v>1393.14</v>
      </c>
      <c r="W673" s="266">
        <f>V673</f>
        <v>1393.14</v>
      </c>
      <c r="X673" s="206">
        <f t="shared" ref="X673:X674" si="257">1787*106.5%</f>
        <v>1903.155</v>
      </c>
    </row>
    <row r="674" spans="1:24" ht="14.1" customHeight="1" x14ac:dyDescent="0.2">
      <c r="A674" s="363"/>
      <c r="B674" s="128" t="s">
        <v>896</v>
      </c>
      <c r="C674" s="47">
        <v>530.44136046720007</v>
      </c>
      <c r="D674" s="284"/>
      <c r="E674" s="47">
        <f>C674*1.0582</f>
        <v>561.31304764639117</v>
      </c>
      <c r="F674" s="47">
        <v>763.2</v>
      </c>
      <c r="G674" s="44">
        <v>839</v>
      </c>
      <c r="H674" s="53">
        <v>1302</v>
      </c>
      <c r="I674" s="70">
        <v>1.0620000000000001</v>
      </c>
      <c r="J674" s="44">
        <f>K674*L674</f>
        <v>1225.5139355690001</v>
      </c>
      <c r="K674" s="70">
        <v>1.0640000000000001</v>
      </c>
      <c r="L674" s="44">
        <f t="shared" si="242"/>
        <v>1151.7988116250001</v>
      </c>
      <c r="M674" s="47">
        <v>1.07</v>
      </c>
      <c r="N674" s="44">
        <f t="shared" si="229"/>
        <v>1076.4474875000001</v>
      </c>
      <c r="O674" s="70">
        <v>1.075</v>
      </c>
      <c r="P674" s="44">
        <f t="shared" si="249"/>
        <v>1001.3465000000001</v>
      </c>
      <c r="Q674" s="70">
        <v>1.085</v>
      </c>
      <c r="R674" s="44">
        <f>S674</f>
        <v>922.90000000000009</v>
      </c>
      <c r="S674" s="44">
        <f>G674*T674</f>
        <v>922.90000000000009</v>
      </c>
      <c r="T674" s="50">
        <v>1.1000000000000001</v>
      </c>
      <c r="U674" s="44">
        <f>I674*V674</f>
        <v>1479.5146800000002</v>
      </c>
      <c r="V674" s="203">
        <f>H674*107%</f>
        <v>1393.14</v>
      </c>
      <c r="W674" s="266">
        <f>V674</f>
        <v>1393.14</v>
      </c>
      <c r="X674" s="206">
        <f t="shared" si="257"/>
        <v>1903.155</v>
      </c>
    </row>
    <row r="675" spans="1:24" s="18" customFormat="1" ht="27.95" customHeight="1" x14ac:dyDescent="0.25">
      <c r="A675" s="128" t="s">
        <v>248</v>
      </c>
      <c r="B675" s="345" t="s">
        <v>709</v>
      </c>
      <c r="C675" s="346"/>
      <c r="D675" s="346"/>
      <c r="E675" s="346"/>
      <c r="F675" s="346"/>
      <c r="G675" s="346"/>
      <c r="H675" s="346"/>
      <c r="I675" s="346"/>
      <c r="J675" s="347"/>
      <c r="K675" s="47"/>
      <c r="L675" s="44"/>
      <c r="M675" s="47"/>
      <c r="N675" s="44"/>
      <c r="O675" s="70"/>
      <c r="P675" s="44"/>
      <c r="Q675" s="70"/>
      <c r="R675" s="44"/>
      <c r="S675" s="44"/>
      <c r="T675" s="50"/>
      <c r="U675" s="44"/>
      <c r="V675" s="15"/>
      <c r="X675" s="206"/>
    </row>
    <row r="676" spans="1:24" ht="15" customHeight="1" x14ac:dyDescent="0.25">
      <c r="A676" s="362" t="s">
        <v>249</v>
      </c>
      <c r="B676" s="345" t="s">
        <v>365</v>
      </c>
      <c r="C676" s="346"/>
      <c r="D676" s="346"/>
      <c r="E676" s="346"/>
      <c r="F676" s="346"/>
      <c r="G676" s="346"/>
      <c r="H676" s="346"/>
      <c r="I676" s="346"/>
      <c r="J676" s="347"/>
      <c r="K676" s="47"/>
      <c r="L676" s="44"/>
      <c r="M676" s="47"/>
      <c r="N676" s="44"/>
      <c r="O676" s="70"/>
      <c r="P676" s="44"/>
      <c r="Q676" s="70"/>
      <c r="R676" s="44"/>
      <c r="S676" s="44"/>
      <c r="T676" s="50"/>
      <c r="U676" s="44"/>
      <c r="V676" s="15"/>
      <c r="X676" s="206"/>
    </row>
    <row r="677" spans="1:24" ht="15" customHeight="1" x14ac:dyDescent="0.2">
      <c r="A677" s="368"/>
      <c r="B677" s="33" t="s">
        <v>503</v>
      </c>
      <c r="C677" s="47">
        <v>257.74761134304009</v>
      </c>
      <c r="D677" s="284"/>
      <c r="E677" s="47">
        <f t="shared" ref="E677:E682" si="258">C677*1.0582</f>
        <v>272.74852232320501</v>
      </c>
      <c r="F677" s="47">
        <v>470</v>
      </c>
      <c r="G677" s="44">
        <v>517</v>
      </c>
      <c r="H677" s="53">
        <f t="shared" ref="H677:H682" si="259">J677*I677</f>
        <v>802.41749914158004</v>
      </c>
      <c r="I677" s="70">
        <v>1.0620000000000001</v>
      </c>
      <c r="J677" s="44">
        <f t="shared" ref="J677:J682" si="260">K677*L677</f>
        <v>755.57203308999999</v>
      </c>
      <c r="K677" s="70">
        <v>1.0640000000000001</v>
      </c>
      <c r="L677" s="44">
        <f t="shared" si="242"/>
        <v>710.12409124999999</v>
      </c>
      <c r="M677" s="47">
        <v>1.07</v>
      </c>
      <c r="N677" s="44">
        <f t="shared" si="229"/>
        <v>663.66737499999999</v>
      </c>
      <c r="O677" s="70">
        <v>1.075</v>
      </c>
      <c r="P677" s="44">
        <f t="shared" si="249"/>
        <v>617.36500000000001</v>
      </c>
      <c r="Q677" s="70">
        <v>1.085</v>
      </c>
      <c r="R677" s="44">
        <v>569</v>
      </c>
      <c r="S677" s="44">
        <f t="shared" ref="S677:U682" si="261">G677*T677</f>
        <v>568.70000000000005</v>
      </c>
      <c r="T677" s="50">
        <v>1.1000000000000001</v>
      </c>
      <c r="U677" s="44">
        <f t="shared" si="261"/>
        <v>911.81910097454318</v>
      </c>
      <c r="V677" s="203">
        <f t="shared" ref="V677:V687" si="262">H677*107%</f>
        <v>858.58672408149073</v>
      </c>
      <c r="W677" s="266">
        <f t="shared" ref="W677:W687" si="263">V677</f>
        <v>858.58672408149073</v>
      </c>
      <c r="X677" s="206">
        <f>1101*106.5%</f>
        <v>1172.5650000000001</v>
      </c>
    </row>
    <row r="678" spans="1:24" ht="15" customHeight="1" x14ac:dyDescent="0.2">
      <c r="A678" s="368"/>
      <c r="B678" s="33" t="s">
        <v>504</v>
      </c>
      <c r="C678" s="47">
        <v>257.74761134304009</v>
      </c>
      <c r="D678" s="284"/>
      <c r="E678" s="47">
        <f t="shared" si="258"/>
        <v>272.74852232320501</v>
      </c>
      <c r="F678" s="47">
        <v>470</v>
      </c>
      <c r="G678" s="44">
        <v>517</v>
      </c>
      <c r="H678" s="53">
        <f t="shared" si="259"/>
        <v>801.99443191883393</v>
      </c>
      <c r="I678" s="70">
        <v>1.0620000000000001</v>
      </c>
      <c r="J678" s="44">
        <f t="shared" si="260"/>
        <v>755.17366470699994</v>
      </c>
      <c r="K678" s="70">
        <v>1.0640000000000001</v>
      </c>
      <c r="L678" s="44">
        <f t="shared" si="242"/>
        <v>709.74968487499996</v>
      </c>
      <c r="M678" s="47">
        <v>1.07</v>
      </c>
      <c r="N678" s="44">
        <f t="shared" si="229"/>
        <v>663.31746249999992</v>
      </c>
      <c r="O678" s="70">
        <v>1.075</v>
      </c>
      <c r="P678" s="44">
        <f t="shared" si="249"/>
        <v>617.03949999999998</v>
      </c>
      <c r="Q678" s="70">
        <v>1.085</v>
      </c>
      <c r="R678" s="44">
        <f>S678</f>
        <v>568.70000000000005</v>
      </c>
      <c r="S678" s="44">
        <f t="shared" si="261"/>
        <v>568.70000000000005</v>
      </c>
      <c r="T678" s="50">
        <v>1.1000000000000001</v>
      </c>
      <c r="U678" s="44">
        <f t="shared" si="261"/>
        <v>911.33835276664786</v>
      </c>
      <c r="V678" s="203">
        <f t="shared" si="262"/>
        <v>858.13404215315234</v>
      </c>
      <c r="W678" s="266">
        <f t="shared" si="263"/>
        <v>858.13404215315234</v>
      </c>
      <c r="X678" s="206">
        <f>1100*106.5%</f>
        <v>1171.5</v>
      </c>
    </row>
    <row r="679" spans="1:24" ht="15" customHeight="1" x14ac:dyDescent="0.2">
      <c r="A679" s="368"/>
      <c r="B679" s="33" t="s">
        <v>505</v>
      </c>
      <c r="C679" s="47">
        <v>257.74761134304009</v>
      </c>
      <c r="D679" s="284"/>
      <c r="E679" s="47">
        <f t="shared" si="258"/>
        <v>272.74852232320501</v>
      </c>
      <c r="F679" s="47">
        <v>470</v>
      </c>
      <c r="G679" s="44">
        <v>517</v>
      </c>
      <c r="H679" s="53">
        <f t="shared" si="259"/>
        <v>801.99443191883393</v>
      </c>
      <c r="I679" s="70">
        <v>1.0620000000000001</v>
      </c>
      <c r="J679" s="44">
        <f t="shared" si="260"/>
        <v>755.17366470699994</v>
      </c>
      <c r="K679" s="70">
        <v>1.0640000000000001</v>
      </c>
      <c r="L679" s="44">
        <f t="shared" si="242"/>
        <v>709.74968487499996</v>
      </c>
      <c r="M679" s="47">
        <v>1.07</v>
      </c>
      <c r="N679" s="44">
        <f t="shared" si="229"/>
        <v>663.31746249999992</v>
      </c>
      <c r="O679" s="70">
        <v>1.075</v>
      </c>
      <c r="P679" s="44">
        <f t="shared" si="249"/>
        <v>617.03949999999998</v>
      </c>
      <c r="Q679" s="70">
        <v>1.085</v>
      </c>
      <c r="R679" s="44">
        <f>S679</f>
        <v>568.70000000000005</v>
      </c>
      <c r="S679" s="44">
        <f t="shared" si="261"/>
        <v>568.70000000000005</v>
      </c>
      <c r="T679" s="50">
        <v>1.1000000000000001</v>
      </c>
      <c r="U679" s="44">
        <f t="shared" si="261"/>
        <v>911.33835276664786</v>
      </c>
      <c r="V679" s="203">
        <f t="shared" si="262"/>
        <v>858.13404215315234</v>
      </c>
      <c r="W679" s="266">
        <f t="shared" si="263"/>
        <v>858.13404215315234</v>
      </c>
      <c r="X679" s="206">
        <f t="shared" ref="X679:X680" si="264">1100*106.5%</f>
        <v>1171.5</v>
      </c>
    </row>
    <row r="680" spans="1:24" ht="15" customHeight="1" x14ac:dyDescent="0.2">
      <c r="A680" s="368"/>
      <c r="B680" s="33" t="s">
        <v>506</v>
      </c>
      <c r="C680" s="47">
        <v>257.74761134304009</v>
      </c>
      <c r="D680" s="284"/>
      <c r="E680" s="47">
        <f t="shared" si="258"/>
        <v>272.74852232320501</v>
      </c>
      <c r="F680" s="47">
        <v>470</v>
      </c>
      <c r="G680" s="44">
        <v>517</v>
      </c>
      <c r="H680" s="53">
        <f t="shared" si="259"/>
        <v>801.99443191883393</v>
      </c>
      <c r="I680" s="70">
        <v>1.0620000000000001</v>
      </c>
      <c r="J680" s="44">
        <f t="shared" si="260"/>
        <v>755.17366470699994</v>
      </c>
      <c r="K680" s="70">
        <v>1.0640000000000001</v>
      </c>
      <c r="L680" s="44">
        <f t="shared" si="242"/>
        <v>709.74968487499996</v>
      </c>
      <c r="M680" s="47">
        <v>1.07</v>
      </c>
      <c r="N680" s="44">
        <f t="shared" si="229"/>
        <v>663.31746249999992</v>
      </c>
      <c r="O680" s="70">
        <v>1.075</v>
      </c>
      <c r="P680" s="44">
        <f t="shared" si="249"/>
        <v>617.03949999999998</v>
      </c>
      <c r="Q680" s="70">
        <v>1.085</v>
      </c>
      <c r="R680" s="44">
        <f>S680</f>
        <v>568.70000000000005</v>
      </c>
      <c r="S680" s="44">
        <f t="shared" si="261"/>
        <v>568.70000000000005</v>
      </c>
      <c r="T680" s="50">
        <v>1.1000000000000001</v>
      </c>
      <c r="U680" s="44">
        <f t="shared" si="261"/>
        <v>911.33835276664786</v>
      </c>
      <c r="V680" s="203">
        <f t="shared" si="262"/>
        <v>858.13404215315234</v>
      </c>
      <c r="W680" s="266">
        <f t="shared" si="263"/>
        <v>858.13404215315234</v>
      </c>
      <c r="X680" s="206">
        <f t="shared" si="264"/>
        <v>1171.5</v>
      </c>
    </row>
    <row r="681" spans="1:24" ht="15" customHeight="1" x14ac:dyDescent="0.2">
      <c r="A681" s="368"/>
      <c r="B681" s="33" t="s">
        <v>507</v>
      </c>
      <c r="C681" s="47">
        <v>320.02318543104008</v>
      </c>
      <c r="D681" s="284"/>
      <c r="E681" s="47">
        <f t="shared" si="258"/>
        <v>338.64853482312662</v>
      </c>
      <c r="F681" s="47">
        <v>583.52</v>
      </c>
      <c r="G681" s="44">
        <v>642</v>
      </c>
      <c r="H681" s="53">
        <f t="shared" si="259"/>
        <v>995.61819752892018</v>
      </c>
      <c r="I681" s="70">
        <v>1.0620000000000001</v>
      </c>
      <c r="J681" s="44">
        <f t="shared" si="260"/>
        <v>937.4935946600001</v>
      </c>
      <c r="K681" s="70">
        <v>1.0640000000000001</v>
      </c>
      <c r="L681" s="44">
        <f t="shared" si="242"/>
        <v>881.1030025</v>
      </c>
      <c r="M681" s="47">
        <v>1.07</v>
      </c>
      <c r="N681" s="44">
        <f t="shared" si="229"/>
        <v>823.46074999999996</v>
      </c>
      <c r="O681" s="70">
        <v>1.075</v>
      </c>
      <c r="P681" s="44">
        <f t="shared" si="249"/>
        <v>766.01</v>
      </c>
      <c r="Q681" s="70">
        <v>1.085</v>
      </c>
      <c r="R681" s="44">
        <v>706</v>
      </c>
      <c r="S681" s="44">
        <f t="shared" si="261"/>
        <v>706.2</v>
      </c>
      <c r="T681" s="50">
        <v>1.1000000000000001</v>
      </c>
      <c r="U681" s="44">
        <f t="shared" si="261"/>
        <v>1131.3607825800132</v>
      </c>
      <c r="V681" s="203">
        <f t="shared" si="262"/>
        <v>1065.3114713559446</v>
      </c>
      <c r="W681" s="266">
        <f t="shared" si="263"/>
        <v>1065.3114713559446</v>
      </c>
      <c r="X681" s="206">
        <f>1366*106.5%</f>
        <v>1454.79</v>
      </c>
    </row>
    <row r="682" spans="1:24" ht="15" customHeight="1" x14ac:dyDescent="0.2">
      <c r="A682" s="368"/>
      <c r="B682" s="33" t="s">
        <v>508</v>
      </c>
      <c r="C682" s="47">
        <v>257.74761134304009</v>
      </c>
      <c r="D682" s="284"/>
      <c r="E682" s="47">
        <f t="shared" si="258"/>
        <v>272.74852232320501</v>
      </c>
      <c r="F682" s="47">
        <v>470</v>
      </c>
      <c r="G682" s="44">
        <v>517</v>
      </c>
      <c r="H682" s="53">
        <f t="shared" si="259"/>
        <v>801.99443191883393</v>
      </c>
      <c r="I682" s="70">
        <v>1.0620000000000001</v>
      </c>
      <c r="J682" s="44">
        <f t="shared" si="260"/>
        <v>755.17366470699994</v>
      </c>
      <c r="K682" s="70">
        <v>1.0640000000000001</v>
      </c>
      <c r="L682" s="44">
        <f t="shared" si="242"/>
        <v>709.74968487499996</v>
      </c>
      <c r="M682" s="47">
        <v>1.07</v>
      </c>
      <c r="N682" s="44">
        <f t="shared" si="229"/>
        <v>663.31746249999992</v>
      </c>
      <c r="O682" s="70">
        <v>1.075</v>
      </c>
      <c r="P682" s="44">
        <f t="shared" si="249"/>
        <v>617.03949999999998</v>
      </c>
      <c r="Q682" s="70">
        <v>1.085</v>
      </c>
      <c r="R682" s="44">
        <f>S682</f>
        <v>568.70000000000005</v>
      </c>
      <c r="S682" s="44">
        <f t="shared" si="261"/>
        <v>568.70000000000005</v>
      </c>
      <c r="T682" s="50">
        <v>1.1000000000000001</v>
      </c>
      <c r="U682" s="44">
        <f t="shared" si="261"/>
        <v>911.33835276664786</v>
      </c>
      <c r="V682" s="203">
        <f t="shared" si="262"/>
        <v>858.13404215315234</v>
      </c>
      <c r="W682" s="266">
        <f t="shared" si="263"/>
        <v>858.13404215315234</v>
      </c>
      <c r="X682" s="206">
        <f>1100*106.5%</f>
        <v>1171.5</v>
      </c>
    </row>
    <row r="683" spans="1:24" ht="15" customHeight="1" x14ac:dyDescent="0.25">
      <c r="A683" s="363" t="s">
        <v>652</v>
      </c>
      <c r="B683" s="345" t="s">
        <v>372</v>
      </c>
      <c r="C683" s="346"/>
      <c r="D683" s="346"/>
      <c r="E683" s="346"/>
      <c r="F683" s="346"/>
      <c r="G683" s="346"/>
      <c r="H683" s="346"/>
      <c r="I683" s="346"/>
      <c r="J683" s="347"/>
      <c r="K683" s="70"/>
      <c r="L683" s="44"/>
      <c r="M683" s="47">
        <v>1.07</v>
      </c>
      <c r="N683" s="44"/>
      <c r="O683" s="70"/>
      <c r="P683" s="44"/>
      <c r="Q683" s="70"/>
      <c r="R683" s="44"/>
      <c r="S683" s="44"/>
      <c r="T683" s="50"/>
      <c r="U683" s="44"/>
      <c r="V683" s="15"/>
      <c r="X683" s="206"/>
    </row>
    <row r="684" spans="1:24" ht="15" customHeight="1" x14ac:dyDescent="0.2">
      <c r="A684" s="368"/>
      <c r="B684" s="33" t="s">
        <v>509</v>
      </c>
      <c r="C684" s="47">
        <v>1594.6942889404806</v>
      </c>
      <c r="D684" s="284"/>
      <c r="E684" s="47">
        <f>C684*1.0582</f>
        <v>1687.5054965568168</v>
      </c>
      <c r="F684" s="47">
        <v>2908</v>
      </c>
      <c r="G684" s="44">
        <v>3199</v>
      </c>
      <c r="H684" s="53">
        <f>J684*I684</f>
        <v>4962.5785228105806</v>
      </c>
      <c r="I684" s="70">
        <v>1.0620000000000001</v>
      </c>
      <c r="J684" s="44">
        <f>K684*L684</f>
        <v>4672.8611325900001</v>
      </c>
      <c r="K684" s="70">
        <v>1.0640000000000001</v>
      </c>
      <c r="L684" s="44">
        <f t="shared" si="242"/>
        <v>4391.7867787499999</v>
      </c>
      <c r="M684" s="47">
        <v>1.07</v>
      </c>
      <c r="N684" s="44">
        <f t="shared" ref="N684:N762" si="265">O684*P684</f>
        <v>4104.4736249999996</v>
      </c>
      <c r="O684" s="70">
        <v>1.075</v>
      </c>
      <c r="P684" s="44">
        <f t="shared" si="249"/>
        <v>3818.1149999999998</v>
      </c>
      <c r="Q684" s="70">
        <v>1.085</v>
      </c>
      <c r="R684" s="44">
        <v>3519</v>
      </c>
      <c r="S684" s="44">
        <f>G684*T684</f>
        <v>3518.9</v>
      </c>
      <c r="T684" s="50">
        <v>1.1000000000000001</v>
      </c>
      <c r="U684" s="44">
        <f>I684*V684</f>
        <v>5639.1764786105759</v>
      </c>
      <c r="V684" s="203">
        <f t="shared" si="262"/>
        <v>5309.9590194073216</v>
      </c>
      <c r="W684" s="266">
        <f t="shared" si="263"/>
        <v>5309.9590194073216</v>
      </c>
      <c r="X684" s="206">
        <f>6810*103.9%</f>
        <v>7075.5900000000011</v>
      </c>
    </row>
    <row r="685" spans="1:24" ht="15" customHeight="1" x14ac:dyDescent="0.2">
      <c r="A685" s="368"/>
      <c r="B685" s="33" t="s">
        <v>510</v>
      </c>
      <c r="C685" s="47">
        <v>427.28370362496014</v>
      </c>
      <c r="D685" s="284"/>
      <c r="E685" s="47">
        <f>C685*1.0582</f>
        <v>452.15161517593282</v>
      </c>
      <c r="F685" s="47">
        <v>779.2</v>
      </c>
      <c r="G685" s="44">
        <v>857</v>
      </c>
      <c r="H685" s="53">
        <f>J685*I685</f>
        <v>1329.84130349826</v>
      </c>
      <c r="I685" s="70">
        <v>1.0620000000000001</v>
      </c>
      <c r="J685" s="44">
        <f>K685*L685</f>
        <v>1252.2046172299999</v>
      </c>
      <c r="K685" s="70">
        <v>1.0640000000000001</v>
      </c>
      <c r="L685" s="44">
        <f t="shared" si="242"/>
        <v>1176.8840387499999</v>
      </c>
      <c r="M685" s="47">
        <v>1.07</v>
      </c>
      <c r="N685" s="44">
        <f t="shared" si="265"/>
        <v>1099.891625</v>
      </c>
      <c r="O685" s="70">
        <v>1.075</v>
      </c>
      <c r="P685" s="44">
        <f t="shared" si="249"/>
        <v>1023.155</v>
      </c>
      <c r="Q685" s="70">
        <v>1.085</v>
      </c>
      <c r="R685" s="44">
        <v>943</v>
      </c>
      <c r="S685" s="44">
        <f>G685*T685</f>
        <v>942.7</v>
      </c>
      <c r="T685" s="50">
        <v>1.1000000000000001</v>
      </c>
      <c r="U685" s="44">
        <f>I685*V685</f>
        <v>1511.151866817213</v>
      </c>
      <c r="V685" s="203">
        <f t="shared" si="262"/>
        <v>1422.9301947431384</v>
      </c>
      <c r="W685" s="266">
        <f t="shared" si="263"/>
        <v>1422.9301947431384</v>
      </c>
      <c r="X685" s="206">
        <f>1826*103.9%</f>
        <v>1897.2140000000002</v>
      </c>
    </row>
    <row r="686" spans="1:24" ht="15" customHeight="1" x14ac:dyDescent="0.2">
      <c r="A686" s="368"/>
      <c r="B686" s="33" t="s">
        <v>511</v>
      </c>
      <c r="C686" s="47">
        <v>384.49672095744006</v>
      </c>
      <c r="D686" s="284"/>
      <c r="E686" s="47">
        <f>C686*1.0582</f>
        <v>406.87443011716306</v>
      </c>
      <c r="F686" s="47">
        <v>700.12</v>
      </c>
      <c r="G686" s="44">
        <v>770</v>
      </c>
      <c r="H686" s="53">
        <f>J686*I686</f>
        <v>1194.4597922195403</v>
      </c>
      <c r="I686" s="70">
        <v>1.0620000000000001</v>
      </c>
      <c r="J686" s="44">
        <f>K686*L686</f>
        <v>1124.7267346700003</v>
      </c>
      <c r="K686" s="70">
        <v>1.0640000000000001</v>
      </c>
      <c r="L686" s="44">
        <f t="shared" si="242"/>
        <v>1057.0739987500001</v>
      </c>
      <c r="M686" s="47">
        <v>1.07</v>
      </c>
      <c r="N686" s="44">
        <f t="shared" si="265"/>
        <v>987.919625</v>
      </c>
      <c r="O686" s="70">
        <v>1.075</v>
      </c>
      <c r="P686" s="44">
        <f t="shared" si="249"/>
        <v>918.995</v>
      </c>
      <c r="Q686" s="70">
        <v>1.085</v>
      </c>
      <c r="R686" s="44">
        <v>847</v>
      </c>
      <c r="S686" s="44">
        <f>G686*T686</f>
        <v>847.00000000000011</v>
      </c>
      <c r="T686" s="50">
        <v>1.1000000000000001</v>
      </c>
      <c r="U686" s="44">
        <f>I686*V686</f>
        <v>1357.3124402907524</v>
      </c>
      <c r="V686" s="203">
        <f t="shared" si="262"/>
        <v>1278.0719776749081</v>
      </c>
      <c r="W686" s="266">
        <f t="shared" si="263"/>
        <v>1278.0719776749081</v>
      </c>
      <c r="X686" s="206">
        <f>1640*106.5%</f>
        <v>1746.6</v>
      </c>
    </row>
    <row r="687" spans="1:24" ht="15" customHeight="1" x14ac:dyDescent="0.2">
      <c r="A687" s="368"/>
      <c r="B687" s="33" t="s">
        <v>512</v>
      </c>
      <c r="C687" s="47">
        <v>453.6592408857602</v>
      </c>
      <c r="D687" s="284"/>
      <c r="E687" s="47">
        <f>C687*1.0582</f>
        <v>480.06220870531143</v>
      </c>
      <c r="F687" s="47">
        <v>828.64</v>
      </c>
      <c r="G687" s="44">
        <v>912</v>
      </c>
      <c r="H687" s="53">
        <f>J687*I687</f>
        <v>1414.45474804746</v>
      </c>
      <c r="I687" s="70">
        <v>1.0620000000000001</v>
      </c>
      <c r="J687" s="44">
        <f>K687*L687</f>
        <v>1331.8782938300001</v>
      </c>
      <c r="K687" s="70">
        <v>1.0640000000000001</v>
      </c>
      <c r="L687" s="44">
        <f t="shared" si="242"/>
        <v>1251.7653137499999</v>
      </c>
      <c r="M687" s="47">
        <v>1.07</v>
      </c>
      <c r="N687" s="44">
        <f t="shared" si="265"/>
        <v>1169.8741249999998</v>
      </c>
      <c r="O687" s="70">
        <v>1.075</v>
      </c>
      <c r="P687" s="44">
        <f t="shared" si="249"/>
        <v>1088.2549999999999</v>
      </c>
      <c r="Q687" s="70">
        <v>1.085</v>
      </c>
      <c r="R687" s="44">
        <v>1003</v>
      </c>
      <c r="S687" s="44">
        <f>G687*T687</f>
        <v>1003.2</v>
      </c>
      <c r="T687" s="50">
        <v>1.1000000000000001</v>
      </c>
      <c r="U687" s="44">
        <f>I687*V687</f>
        <v>1607.3015083962509</v>
      </c>
      <c r="V687" s="203">
        <f t="shared" si="262"/>
        <v>1513.4665804107824</v>
      </c>
      <c r="W687" s="266">
        <f t="shared" si="263"/>
        <v>1513.4665804107824</v>
      </c>
      <c r="X687" s="206">
        <f>1941*106.5%</f>
        <v>2067.165</v>
      </c>
    </row>
    <row r="688" spans="1:24" ht="15" customHeight="1" x14ac:dyDescent="0.25">
      <c r="A688" s="290" t="s">
        <v>250</v>
      </c>
      <c r="B688" s="416" t="s">
        <v>897</v>
      </c>
      <c r="C688" s="417"/>
      <c r="D688" s="417"/>
      <c r="E688" s="417"/>
      <c r="F688" s="417"/>
      <c r="G688" s="417"/>
      <c r="H688" s="417"/>
      <c r="I688" s="417"/>
      <c r="J688" s="418"/>
      <c r="K688" s="47"/>
      <c r="L688" s="44"/>
      <c r="M688" s="47"/>
      <c r="N688" s="44"/>
      <c r="O688" s="70"/>
      <c r="P688" s="44"/>
      <c r="Q688" s="70"/>
      <c r="R688" s="44"/>
      <c r="S688" s="44"/>
      <c r="T688" s="50"/>
      <c r="U688" s="44"/>
      <c r="V688" s="15"/>
      <c r="X688" s="206"/>
    </row>
    <row r="689" spans="1:24" x14ac:dyDescent="0.25">
      <c r="A689" s="114"/>
      <c r="B689" s="416" t="s">
        <v>898</v>
      </c>
      <c r="C689" s="417"/>
      <c r="D689" s="417"/>
      <c r="E689" s="417"/>
      <c r="F689" s="417"/>
      <c r="G689" s="417"/>
      <c r="H689" s="418"/>
      <c r="I689" s="175">
        <v>1.0620000000000001</v>
      </c>
      <c r="J689" s="150">
        <v>638</v>
      </c>
      <c r="K689" s="70">
        <v>1.0640000000000001</v>
      </c>
      <c r="L689" s="44">
        <f t="shared" si="242"/>
        <v>600.29822124999998</v>
      </c>
      <c r="M689" s="47">
        <v>1.07</v>
      </c>
      <c r="N689" s="44">
        <f t="shared" si="265"/>
        <v>561.02637499999992</v>
      </c>
      <c r="O689" s="70">
        <v>1.075</v>
      </c>
      <c r="P689" s="44">
        <f t="shared" si="249"/>
        <v>521.88499999999999</v>
      </c>
      <c r="Q689" s="70">
        <v>1.085</v>
      </c>
      <c r="R689" s="44">
        <v>481</v>
      </c>
      <c r="S689" s="44">
        <f t="shared" ref="S689:U712" si="266">G689*T689</f>
        <v>0</v>
      </c>
      <c r="T689" s="50">
        <v>1.1000000000000001</v>
      </c>
      <c r="U689" s="44">
        <f t="shared" si="266"/>
        <v>0</v>
      </c>
      <c r="V689" s="15"/>
      <c r="X689" s="206"/>
    </row>
    <row r="690" spans="1:24" x14ac:dyDescent="0.2">
      <c r="A690" s="114"/>
      <c r="B690" s="128" t="s">
        <v>519</v>
      </c>
      <c r="C690" s="47">
        <v>217.59818240160007</v>
      </c>
      <c r="D690" s="284"/>
      <c r="E690" s="47">
        <f t="shared" ref="E690:E712" si="267">C690*1.0582</f>
        <v>230.26239661737321</v>
      </c>
      <c r="F690" s="47">
        <v>397</v>
      </c>
      <c r="G690" s="44">
        <v>437</v>
      </c>
      <c r="H690" s="53">
        <f t="shared" ref="H690:H713" si="268">J690*I690</f>
        <v>677.89471324667409</v>
      </c>
      <c r="I690" s="70">
        <v>1.0620000000000001</v>
      </c>
      <c r="J690" s="44">
        <f t="shared" ref="J690:J713" si="269">K690*L690</f>
        <v>638.31893902700006</v>
      </c>
      <c r="K690" s="70">
        <v>1.0640000000000001</v>
      </c>
      <c r="L690" s="44">
        <f t="shared" si="242"/>
        <v>599.92381487500006</v>
      </c>
      <c r="M690" s="47">
        <v>1.07</v>
      </c>
      <c r="N690" s="44">
        <f t="shared" si="265"/>
        <v>560.67646250000007</v>
      </c>
      <c r="O690" s="70">
        <v>1.075</v>
      </c>
      <c r="P690" s="44">
        <f t="shared" si="249"/>
        <v>521.55950000000007</v>
      </c>
      <c r="Q690" s="70">
        <v>1.085</v>
      </c>
      <c r="R690" s="44">
        <f t="shared" ref="R690:R702" si="270">S690</f>
        <v>480.70000000000005</v>
      </c>
      <c r="S690" s="44">
        <f t="shared" si="266"/>
        <v>480.70000000000005</v>
      </c>
      <c r="T690" s="50">
        <v>1.1000000000000001</v>
      </c>
      <c r="U690" s="44">
        <f t="shared" si="266"/>
        <v>770.31887845072572</v>
      </c>
      <c r="V690" s="203">
        <f t="shared" ref="V690:V713" si="271">H690*107%</f>
        <v>725.34734317394134</v>
      </c>
      <c r="W690" s="266">
        <f t="shared" ref="W690:W713" si="272">V690</f>
        <v>725.34734317394134</v>
      </c>
      <c r="X690" s="206">
        <f>930*106.5%</f>
        <v>990.44999999999993</v>
      </c>
    </row>
    <row r="691" spans="1:24" x14ac:dyDescent="0.2">
      <c r="A691" s="114"/>
      <c r="B691" s="128" t="s">
        <v>463</v>
      </c>
      <c r="C691" s="47">
        <v>217.59818240160007</v>
      </c>
      <c r="D691" s="284"/>
      <c r="E691" s="47">
        <f t="shared" si="267"/>
        <v>230.26239661737321</v>
      </c>
      <c r="F691" s="47">
        <v>397</v>
      </c>
      <c r="G691" s="44">
        <v>437</v>
      </c>
      <c r="H691" s="53">
        <f t="shared" si="268"/>
        <v>677.89471324667409</v>
      </c>
      <c r="I691" s="70">
        <v>1.0620000000000001</v>
      </c>
      <c r="J691" s="44">
        <f t="shared" si="269"/>
        <v>638.31893902700006</v>
      </c>
      <c r="K691" s="70">
        <v>1.0640000000000001</v>
      </c>
      <c r="L691" s="44">
        <f t="shared" si="242"/>
        <v>599.92381487500006</v>
      </c>
      <c r="M691" s="47">
        <v>1.07</v>
      </c>
      <c r="N691" s="44">
        <f t="shared" si="265"/>
        <v>560.67646250000007</v>
      </c>
      <c r="O691" s="70">
        <v>1.075</v>
      </c>
      <c r="P691" s="44">
        <f t="shared" si="249"/>
        <v>521.55950000000007</v>
      </c>
      <c r="Q691" s="70">
        <v>1.085</v>
      </c>
      <c r="R691" s="44">
        <f t="shared" si="270"/>
        <v>480.70000000000005</v>
      </c>
      <c r="S691" s="44">
        <f t="shared" si="266"/>
        <v>480.70000000000005</v>
      </c>
      <c r="T691" s="50">
        <v>1.1000000000000001</v>
      </c>
      <c r="U691" s="44">
        <f t="shared" si="266"/>
        <v>770.31887845072572</v>
      </c>
      <c r="V691" s="203">
        <f t="shared" si="271"/>
        <v>725.34734317394134</v>
      </c>
      <c r="W691" s="266">
        <f t="shared" si="272"/>
        <v>725.34734317394134</v>
      </c>
      <c r="X691" s="206">
        <f t="shared" ref="X691:X705" si="273">930*106.5%</f>
        <v>990.44999999999993</v>
      </c>
    </row>
    <row r="692" spans="1:24" x14ac:dyDescent="0.2">
      <c r="A692" s="114"/>
      <c r="B692" s="128" t="s">
        <v>464</v>
      </c>
      <c r="C692" s="47">
        <v>217.59818240160007</v>
      </c>
      <c r="D692" s="284"/>
      <c r="E692" s="47">
        <f t="shared" si="267"/>
        <v>230.26239661737321</v>
      </c>
      <c r="F692" s="47">
        <v>397</v>
      </c>
      <c r="G692" s="44">
        <v>437</v>
      </c>
      <c r="H692" s="53">
        <f t="shared" si="268"/>
        <v>677.89471324667409</v>
      </c>
      <c r="I692" s="70">
        <v>1.0620000000000001</v>
      </c>
      <c r="J692" s="44">
        <f t="shared" si="269"/>
        <v>638.31893902700006</v>
      </c>
      <c r="K692" s="70">
        <v>1.0640000000000001</v>
      </c>
      <c r="L692" s="44">
        <f t="shared" si="242"/>
        <v>599.92381487500006</v>
      </c>
      <c r="M692" s="47">
        <v>1.07</v>
      </c>
      <c r="N692" s="44">
        <f t="shared" si="265"/>
        <v>560.67646250000007</v>
      </c>
      <c r="O692" s="70">
        <v>1.075</v>
      </c>
      <c r="P692" s="44">
        <f t="shared" si="249"/>
        <v>521.55950000000007</v>
      </c>
      <c r="Q692" s="70">
        <v>1.085</v>
      </c>
      <c r="R692" s="44">
        <f t="shared" si="270"/>
        <v>480.70000000000005</v>
      </c>
      <c r="S692" s="44">
        <f t="shared" si="266"/>
        <v>480.70000000000005</v>
      </c>
      <c r="T692" s="50">
        <v>1.1000000000000001</v>
      </c>
      <c r="U692" s="44">
        <f t="shared" si="266"/>
        <v>770.31887845072572</v>
      </c>
      <c r="V692" s="203">
        <f t="shared" si="271"/>
        <v>725.34734317394134</v>
      </c>
      <c r="W692" s="266">
        <f t="shared" si="272"/>
        <v>725.34734317394134</v>
      </c>
      <c r="X692" s="206">
        <f t="shared" si="273"/>
        <v>990.44999999999993</v>
      </c>
    </row>
    <row r="693" spans="1:24" x14ac:dyDescent="0.2">
      <c r="A693" s="114"/>
      <c r="B693" s="128" t="s">
        <v>465</v>
      </c>
      <c r="C693" s="47">
        <v>217.59818240160007</v>
      </c>
      <c r="D693" s="284"/>
      <c r="E693" s="47">
        <f t="shared" si="267"/>
        <v>230.26239661737321</v>
      </c>
      <c r="F693" s="47">
        <v>397</v>
      </c>
      <c r="G693" s="44">
        <v>437</v>
      </c>
      <c r="H693" s="53">
        <f t="shared" si="268"/>
        <v>677.89471324667409</v>
      </c>
      <c r="I693" s="70">
        <v>1.0620000000000001</v>
      </c>
      <c r="J693" s="44">
        <f t="shared" si="269"/>
        <v>638.31893902700006</v>
      </c>
      <c r="K693" s="70">
        <v>1.0640000000000001</v>
      </c>
      <c r="L693" s="44">
        <f t="shared" si="242"/>
        <v>599.92381487500006</v>
      </c>
      <c r="M693" s="47">
        <v>1.07</v>
      </c>
      <c r="N693" s="44">
        <f t="shared" si="265"/>
        <v>560.67646250000007</v>
      </c>
      <c r="O693" s="70">
        <v>1.075</v>
      </c>
      <c r="P693" s="44">
        <f t="shared" si="249"/>
        <v>521.55950000000007</v>
      </c>
      <c r="Q693" s="70">
        <v>1.085</v>
      </c>
      <c r="R693" s="44">
        <f t="shared" si="270"/>
        <v>480.70000000000005</v>
      </c>
      <c r="S693" s="44">
        <f t="shared" si="266"/>
        <v>480.70000000000005</v>
      </c>
      <c r="T693" s="50">
        <v>1.1000000000000001</v>
      </c>
      <c r="U693" s="44">
        <f t="shared" si="266"/>
        <v>770.31887845072572</v>
      </c>
      <c r="V693" s="203">
        <f t="shared" si="271"/>
        <v>725.34734317394134</v>
      </c>
      <c r="W693" s="266">
        <f t="shared" si="272"/>
        <v>725.34734317394134</v>
      </c>
      <c r="X693" s="206">
        <f t="shared" si="273"/>
        <v>990.44999999999993</v>
      </c>
    </row>
    <row r="694" spans="1:24" x14ac:dyDescent="0.2">
      <c r="A694" s="114"/>
      <c r="B694" s="128" t="s">
        <v>466</v>
      </c>
      <c r="C694" s="47">
        <v>217.59818240160007</v>
      </c>
      <c r="D694" s="284"/>
      <c r="E694" s="47">
        <f t="shared" si="267"/>
        <v>230.26239661737321</v>
      </c>
      <c r="F694" s="47">
        <v>397</v>
      </c>
      <c r="G694" s="44">
        <v>437</v>
      </c>
      <c r="H694" s="53">
        <f t="shared" si="268"/>
        <v>677.89471324667409</v>
      </c>
      <c r="I694" s="70">
        <v>1.0620000000000001</v>
      </c>
      <c r="J694" s="44">
        <f t="shared" si="269"/>
        <v>638.31893902700006</v>
      </c>
      <c r="K694" s="70">
        <v>1.0640000000000001</v>
      </c>
      <c r="L694" s="44">
        <f t="shared" si="242"/>
        <v>599.92381487500006</v>
      </c>
      <c r="M694" s="47">
        <v>1.07</v>
      </c>
      <c r="N694" s="44">
        <f t="shared" si="265"/>
        <v>560.67646250000007</v>
      </c>
      <c r="O694" s="70">
        <v>1.075</v>
      </c>
      <c r="P694" s="44">
        <f t="shared" si="249"/>
        <v>521.55950000000007</v>
      </c>
      <c r="Q694" s="70">
        <v>1.085</v>
      </c>
      <c r="R694" s="44">
        <f t="shared" si="270"/>
        <v>480.70000000000005</v>
      </c>
      <c r="S694" s="44">
        <f t="shared" si="266"/>
        <v>480.70000000000005</v>
      </c>
      <c r="T694" s="50">
        <v>1.1000000000000001</v>
      </c>
      <c r="U694" s="44">
        <f t="shared" si="266"/>
        <v>770.31887845072572</v>
      </c>
      <c r="V694" s="203">
        <f t="shared" si="271"/>
        <v>725.34734317394134</v>
      </c>
      <c r="W694" s="266">
        <f t="shared" si="272"/>
        <v>725.34734317394134</v>
      </c>
      <c r="X694" s="206">
        <f t="shared" si="273"/>
        <v>990.44999999999993</v>
      </c>
    </row>
    <row r="695" spans="1:24" x14ac:dyDescent="0.2">
      <c r="A695" s="114"/>
      <c r="B695" s="128" t="s">
        <v>521</v>
      </c>
      <c r="C695" s="47">
        <v>217.59818240160007</v>
      </c>
      <c r="D695" s="284"/>
      <c r="E695" s="47">
        <f t="shared" si="267"/>
        <v>230.26239661737321</v>
      </c>
      <c r="F695" s="47">
        <v>397</v>
      </c>
      <c r="G695" s="44">
        <v>437</v>
      </c>
      <c r="H695" s="53">
        <f t="shared" si="268"/>
        <v>677.89471324667409</v>
      </c>
      <c r="I695" s="70">
        <v>1.0620000000000001</v>
      </c>
      <c r="J695" s="44">
        <f t="shared" si="269"/>
        <v>638.31893902700006</v>
      </c>
      <c r="K695" s="70">
        <v>1.0640000000000001</v>
      </c>
      <c r="L695" s="44">
        <f t="shared" si="242"/>
        <v>599.92381487500006</v>
      </c>
      <c r="M695" s="47">
        <v>1.07</v>
      </c>
      <c r="N695" s="44">
        <f t="shared" si="265"/>
        <v>560.67646250000007</v>
      </c>
      <c r="O695" s="70">
        <v>1.075</v>
      </c>
      <c r="P695" s="44">
        <f t="shared" si="249"/>
        <v>521.55950000000007</v>
      </c>
      <c r="Q695" s="70">
        <v>1.085</v>
      </c>
      <c r="R695" s="44">
        <f t="shared" si="270"/>
        <v>480.70000000000005</v>
      </c>
      <c r="S695" s="44">
        <f t="shared" si="266"/>
        <v>480.70000000000005</v>
      </c>
      <c r="T695" s="50">
        <v>1.1000000000000001</v>
      </c>
      <c r="U695" s="44">
        <f t="shared" si="266"/>
        <v>770.31887845072572</v>
      </c>
      <c r="V695" s="203">
        <f t="shared" si="271"/>
        <v>725.34734317394134</v>
      </c>
      <c r="W695" s="266">
        <f t="shared" si="272"/>
        <v>725.34734317394134</v>
      </c>
      <c r="X695" s="206">
        <f t="shared" si="273"/>
        <v>990.44999999999993</v>
      </c>
    </row>
    <row r="696" spans="1:24" x14ac:dyDescent="0.2">
      <c r="A696" s="114"/>
      <c r="B696" s="128" t="s">
        <v>467</v>
      </c>
      <c r="C696" s="47">
        <v>217.59818240160007</v>
      </c>
      <c r="D696" s="284"/>
      <c r="E696" s="47">
        <f t="shared" si="267"/>
        <v>230.26239661737321</v>
      </c>
      <c r="F696" s="47">
        <v>397</v>
      </c>
      <c r="G696" s="44">
        <v>437</v>
      </c>
      <c r="H696" s="53">
        <f t="shared" si="268"/>
        <v>677.89471324667409</v>
      </c>
      <c r="I696" s="70">
        <v>1.0620000000000001</v>
      </c>
      <c r="J696" s="44">
        <f t="shared" si="269"/>
        <v>638.31893902700006</v>
      </c>
      <c r="K696" s="70">
        <v>1.0640000000000001</v>
      </c>
      <c r="L696" s="44">
        <f t="shared" si="242"/>
        <v>599.92381487500006</v>
      </c>
      <c r="M696" s="47">
        <v>1.07</v>
      </c>
      <c r="N696" s="44">
        <f t="shared" si="265"/>
        <v>560.67646250000007</v>
      </c>
      <c r="O696" s="70">
        <v>1.075</v>
      </c>
      <c r="P696" s="44">
        <f t="shared" si="249"/>
        <v>521.55950000000007</v>
      </c>
      <c r="Q696" s="70">
        <v>1.085</v>
      </c>
      <c r="R696" s="44">
        <f t="shared" si="270"/>
        <v>480.70000000000005</v>
      </c>
      <c r="S696" s="44">
        <f t="shared" si="266"/>
        <v>480.70000000000005</v>
      </c>
      <c r="T696" s="50">
        <v>1.1000000000000001</v>
      </c>
      <c r="U696" s="44">
        <f t="shared" si="266"/>
        <v>770.31887845072572</v>
      </c>
      <c r="V696" s="203">
        <f t="shared" si="271"/>
        <v>725.34734317394134</v>
      </c>
      <c r="W696" s="266">
        <f t="shared" si="272"/>
        <v>725.34734317394134</v>
      </c>
      <c r="X696" s="206">
        <f t="shared" si="273"/>
        <v>990.44999999999993</v>
      </c>
    </row>
    <row r="697" spans="1:24" x14ac:dyDescent="0.2">
      <c r="A697" s="114"/>
      <c r="B697" s="128" t="s">
        <v>522</v>
      </c>
      <c r="C697" s="47">
        <v>217.59818240160007</v>
      </c>
      <c r="D697" s="284"/>
      <c r="E697" s="47">
        <f t="shared" si="267"/>
        <v>230.26239661737321</v>
      </c>
      <c r="F697" s="47">
        <v>397</v>
      </c>
      <c r="G697" s="44">
        <v>437</v>
      </c>
      <c r="H697" s="53">
        <f t="shared" si="268"/>
        <v>677.89471324667409</v>
      </c>
      <c r="I697" s="70">
        <v>1.0620000000000001</v>
      </c>
      <c r="J697" s="44">
        <f t="shared" si="269"/>
        <v>638.31893902700006</v>
      </c>
      <c r="K697" s="70">
        <v>1.0640000000000001</v>
      </c>
      <c r="L697" s="44">
        <f t="shared" si="242"/>
        <v>599.92381487500006</v>
      </c>
      <c r="M697" s="47">
        <v>1.07</v>
      </c>
      <c r="N697" s="44">
        <f t="shared" si="265"/>
        <v>560.67646250000007</v>
      </c>
      <c r="O697" s="70">
        <v>1.075</v>
      </c>
      <c r="P697" s="44">
        <f t="shared" si="249"/>
        <v>521.55950000000007</v>
      </c>
      <c r="Q697" s="70">
        <v>1.085</v>
      </c>
      <c r="R697" s="44">
        <f t="shared" si="270"/>
        <v>480.70000000000005</v>
      </c>
      <c r="S697" s="44">
        <f t="shared" si="266"/>
        <v>480.70000000000005</v>
      </c>
      <c r="T697" s="50">
        <v>1.1000000000000001</v>
      </c>
      <c r="U697" s="44">
        <f t="shared" si="266"/>
        <v>770.31887845072572</v>
      </c>
      <c r="V697" s="203">
        <f t="shared" si="271"/>
        <v>725.34734317394134</v>
      </c>
      <c r="W697" s="266">
        <f t="shared" si="272"/>
        <v>725.34734317394134</v>
      </c>
      <c r="X697" s="206">
        <f t="shared" si="273"/>
        <v>990.44999999999993</v>
      </c>
    </row>
    <row r="698" spans="1:24" x14ac:dyDescent="0.2">
      <c r="A698" s="114"/>
      <c r="B698" s="128" t="s">
        <v>468</v>
      </c>
      <c r="C698" s="47">
        <v>217.59818240160007</v>
      </c>
      <c r="D698" s="284"/>
      <c r="E698" s="47">
        <f t="shared" si="267"/>
        <v>230.26239661737321</v>
      </c>
      <c r="F698" s="47">
        <v>397</v>
      </c>
      <c r="G698" s="44">
        <v>437</v>
      </c>
      <c r="H698" s="53">
        <f t="shared" si="268"/>
        <v>677.89471324667409</v>
      </c>
      <c r="I698" s="70">
        <v>1.0620000000000001</v>
      </c>
      <c r="J698" s="44">
        <f t="shared" si="269"/>
        <v>638.31893902700006</v>
      </c>
      <c r="K698" s="70">
        <v>1.0640000000000001</v>
      </c>
      <c r="L698" s="44">
        <f t="shared" si="242"/>
        <v>599.92381487500006</v>
      </c>
      <c r="M698" s="47">
        <v>1.07</v>
      </c>
      <c r="N698" s="44">
        <f t="shared" si="265"/>
        <v>560.67646250000007</v>
      </c>
      <c r="O698" s="70">
        <v>1.075</v>
      </c>
      <c r="P698" s="44">
        <f t="shared" si="249"/>
        <v>521.55950000000007</v>
      </c>
      <c r="Q698" s="70">
        <v>1.085</v>
      </c>
      <c r="R698" s="44">
        <f t="shared" si="270"/>
        <v>480.70000000000005</v>
      </c>
      <c r="S698" s="44">
        <f t="shared" si="266"/>
        <v>480.70000000000005</v>
      </c>
      <c r="T698" s="50">
        <v>1.1000000000000001</v>
      </c>
      <c r="U698" s="44">
        <f t="shared" si="266"/>
        <v>770.31887845072572</v>
      </c>
      <c r="V698" s="203">
        <f t="shared" si="271"/>
        <v>725.34734317394134</v>
      </c>
      <c r="W698" s="266">
        <f t="shared" si="272"/>
        <v>725.34734317394134</v>
      </c>
      <c r="X698" s="206">
        <f t="shared" si="273"/>
        <v>990.44999999999993</v>
      </c>
    </row>
    <row r="699" spans="1:24" x14ac:dyDescent="0.2">
      <c r="A699" s="114"/>
      <c r="B699" s="128" t="s">
        <v>523</v>
      </c>
      <c r="C699" s="47">
        <v>217.59818240160007</v>
      </c>
      <c r="D699" s="284"/>
      <c r="E699" s="47">
        <f t="shared" si="267"/>
        <v>230.26239661737321</v>
      </c>
      <c r="F699" s="47">
        <v>397</v>
      </c>
      <c r="G699" s="44">
        <v>437</v>
      </c>
      <c r="H699" s="53">
        <f t="shared" si="268"/>
        <v>677.89471324667409</v>
      </c>
      <c r="I699" s="70">
        <v>1.0620000000000001</v>
      </c>
      <c r="J699" s="44">
        <f t="shared" si="269"/>
        <v>638.31893902700006</v>
      </c>
      <c r="K699" s="70">
        <v>1.0640000000000001</v>
      </c>
      <c r="L699" s="44">
        <f t="shared" si="242"/>
        <v>599.92381487500006</v>
      </c>
      <c r="M699" s="47">
        <v>1.07</v>
      </c>
      <c r="N699" s="44">
        <f t="shared" si="265"/>
        <v>560.67646250000007</v>
      </c>
      <c r="O699" s="70">
        <v>1.075</v>
      </c>
      <c r="P699" s="44">
        <f t="shared" si="249"/>
        <v>521.55950000000007</v>
      </c>
      <c r="Q699" s="70">
        <v>1.085</v>
      </c>
      <c r="R699" s="44">
        <f t="shared" si="270"/>
        <v>480.70000000000005</v>
      </c>
      <c r="S699" s="44">
        <f t="shared" si="266"/>
        <v>480.70000000000005</v>
      </c>
      <c r="T699" s="50">
        <v>1.1000000000000001</v>
      </c>
      <c r="U699" s="44">
        <f t="shared" si="266"/>
        <v>770.31887845072572</v>
      </c>
      <c r="V699" s="203">
        <f t="shared" si="271"/>
        <v>725.34734317394134</v>
      </c>
      <c r="W699" s="266">
        <f t="shared" si="272"/>
        <v>725.34734317394134</v>
      </c>
      <c r="X699" s="206">
        <f t="shared" si="273"/>
        <v>990.44999999999993</v>
      </c>
    </row>
    <row r="700" spans="1:24" x14ac:dyDescent="0.2">
      <c r="A700" s="114"/>
      <c r="B700" s="128" t="s">
        <v>890</v>
      </c>
      <c r="C700" s="47"/>
      <c r="D700" s="284"/>
      <c r="E700" s="47"/>
      <c r="F700" s="47"/>
      <c r="G700" s="44"/>
      <c r="H700" s="53"/>
      <c r="I700" s="70"/>
      <c r="J700" s="44"/>
      <c r="K700" s="70"/>
      <c r="L700" s="44"/>
      <c r="M700" s="47"/>
      <c r="N700" s="44"/>
      <c r="O700" s="70"/>
      <c r="P700" s="44"/>
      <c r="Q700" s="70"/>
      <c r="R700" s="44"/>
      <c r="S700" s="44"/>
      <c r="T700" s="50"/>
      <c r="U700" s="44"/>
      <c r="V700" s="203"/>
      <c r="W700" s="266"/>
      <c r="X700" s="206">
        <f t="shared" si="273"/>
        <v>990.44999999999993</v>
      </c>
    </row>
    <row r="701" spans="1:24" x14ac:dyDescent="0.2">
      <c r="A701" s="114"/>
      <c r="B701" s="128" t="s">
        <v>482</v>
      </c>
      <c r="C701" s="47"/>
      <c r="D701" s="284"/>
      <c r="E701" s="47"/>
      <c r="F701" s="47"/>
      <c r="G701" s="44"/>
      <c r="H701" s="53"/>
      <c r="I701" s="70"/>
      <c r="J701" s="44"/>
      <c r="K701" s="70"/>
      <c r="L701" s="44"/>
      <c r="M701" s="47"/>
      <c r="N701" s="44"/>
      <c r="O701" s="70"/>
      <c r="P701" s="44"/>
      <c r="Q701" s="70"/>
      <c r="R701" s="44"/>
      <c r="S701" s="44"/>
      <c r="T701" s="50"/>
      <c r="U701" s="44"/>
      <c r="V701" s="203"/>
      <c r="W701" s="266"/>
      <c r="X701" s="206">
        <f t="shared" si="273"/>
        <v>990.44999999999993</v>
      </c>
    </row>
    <row r="702" spans="1:24" x14ac:dyDescent="0.2">
      <c r="A702" s="114"/>
      <c r="B702" s="128" t="s">
        <v>469</v>
      </c>
      <c r="C702" s="47">
        <v>217.59818240160007</v>
      </c>
      <c r="D702" s="284"/>
      <c r="E702" s="47">
        <f t="shared" si="267"/>
        <v>230.26239661737321</v>
      </c>
      <c r="F702" s="47">
        <v>397</v>
      </c>
      <c r="G702" s="44">
        <v>437</v>
      </c>
      <c r="H702" s="53">
        <f t="shared" si="268"/>
        <v>677.89471324667409</v>
      </c>
      <c r="I702" s="70">
        <v>1.0620000000000001</v>
      </c>
      <c r="J702" s="44">
        <f t="shared" si="269"/>
        <v>638.31893902700006</v>
      </c>
      <c r="K702" s="70">
        <v>1.0640000000000001</v>
      </c>
      <c r="L702" s="44">
        <f t="shared" si="242"/>
        <v>599.92381487500006</v>
      </c>
      <c r="M702" s="47">
        <v>1.07</v>
      </c>
      <c r="N702" s="44">
        <f t="shared" si="265"/>
        <v>560.67646250000007</v>
      </c>
      <c r="O702" s="70">
        <v>1.075</v>
      </c>
      <c r="P702" s="44">
        <f t="shared" si="249"/>
        <v>521.55950000000007</v>
      </c>
      <c r="Q702" s="70">
        <v>1.085</v>
      </c>
      <c r="R702" s="44">
        <f t="shared" si="270"/>
        <v>480.70000000000005</v>
      </c>
      <c r="S702" s="44">
        <f t="shared" si="266"/>
        <v>480.70000000000005</v>
      </c>
      <c r="T702" s="50">
        <v>1.1000000000000001</v>
      </c>
      <c r="U702" s="44">
        <f t="shared" si="266"/>
        <v>770.31887845072572</v>
      </c>
      <c r="V702" s="203">
        <f t="shared" si="271"/>
        <v>725.34734317394134</v>
      </c>
      <c r="W702" s="266">
        <f t="shared" si="272"/>
        <v>725.34734317394134</v>
      </c>
      <c r="X702" s="206">
        <f t="shared" si="273"/>
        <v>990.44999999999993</v>
      </c>
    </row>
    <row r="703" spans="1:24" x14ac:dyDescent="0.2">
      <c r="A703" s="114"/>
      <c r="B703" s="176" t="s">
        <v>524</v>
      </c>
      <c r="C703" s="149">
        <v>43.387758794016008</v>
      </c>
      <c r="D703" s="286"/>
      <c r="E703" s="149">
        <f t="shared" si="267"/>
        <v>45.912926355827743</v>
      </c>
      <c r="F703" s="149">
        <v>79</v>
      </c>
      <c r="G703" s="150">
        <v>87</v>
      </c>
      <c r="H703" s="166">
        <v>678</v>
      </c>
      <c r="I703" s="70">
        <v>1.0620000000000001</v>
      </c>
      <c r="J703" s="44">
        <f t="shared" si="269"/>
        <v>127.47788256000001</v>
      </c>
      <c r="K703" s="70">
        <v>1.0640000000000001</v>
      </c>
      <c r="L703" s="44">
        <f t="shared" si="242"/>
        <v>119.81004</v>
      </c>
      <c r="M703" s="47">
        <v>1.07</v>
      </c>
      <c r="N703" s="44">
        <f t="shared" si="265"/>
        <v>111.97199999999999</v>
      </c>
      <c r="O703" s="70">
        <v>1.075</v>
      </c>
      <c r="P703" s="44">
        <f t="shared" si="249"/>
        <v>104.16</v>
      </c>
      <c r="Q703" s="70">
        <v>1.085</v>
      </c>
      <c r="R703" s="44">
        <v>96</v>
      </c>
      <c r="S703" s="44">
        <f t="shared" si="266"/>
        <v>95.7</v>
      </c>
      <c r="T703" s="50">
        <v>1.1000000000000001</v>
      </c>
      <c r="U703" s="44">
        <f t="shared" si="266"/>
        <v>770.43852000000004</v>
      </c>
      <c r="V703" s="203">
        <f t="shared" si="271"/>
        <v>725.46</v>
      </c>
      <c r="W703" s="266">
        <f t="shared" si="272"/>
        <v>725.46</v>
      </c>
      <c r="X703" s="206">
        <f t="shared" si="273"/>
        <v>990.44999999999993</v>
      </c>
    </row>
    <row r="704" spans="1:24" x14ac:dyDescent="0.2">
      <c r="A704" s="114"/>
      <c r="B704" s="176" t="s">
        <v>525</v>
      </c>
      <c r="C704" s="149">
        <v>38.391059790720007</v>
      </c>
      <c r="D704" s="286"/>
      <c r="E704" s="149">
        <f t="shared" si="267"/>
        <v>40.62541947053991</v>
      </c>
      <c r="F704" s="149">
        <v>70</v>
      </c>
      <c r="G704" s="150">
        <v>77</v>
      </c>
      <c r="H704" s="166">
        <v>678</v>
      </c>
      <c r="I704" s="70">
        <v>1.0620000000000001</v>
      </c>
      <c r="J704" s="44">
        <f t="shared" si="269"/>
        <v>112.87104185</v>
      </c>
      <c r="K704" s="70">
        <v>1.0640000000000001</v>
      </c>
      <c r="L704" s="44">
        <f t="shared" si="242"/>
        <v>106.08180624999999</v>
      </c>
      <c r="M704" s="47">
        <v>1.07</v>
      </c>
      <c r="N704" s="44">
        <f t="shared" si="265"/>
        <v>99.141874999999985</v>
      </c>
      <c r="O704" s="70">
        <v>1.075</v>
      </c>
      <c r="P704" s="44">
        <f t="shared" si="249"/>
        <v>92.224999999999994</v>
      </c>
      <c r="Q704" s="70">
        <v>1.085</v>
      </c>
      <c r="R704" s="44">
        <v>85</v>
      </c>
      <c r="S704" s="44">
        <f t="shared" si="266"/>
        <v>84.7</v>
      </c>
      <c r="T704" s="50">
        <v>1.1000000000000001</v>
      </c>
      <c r="U704" s="44">
        <f t="shared" si="266"/>
        <v>770.43852000000004</v>
      </c>
      <c r="V704" s="203">
        <f t="shared" si="271"/>
        <v>725.46</v>
      </c>
      <c r="W704" s="266">
        <f t="shared" si="272"/>
        <v>725.46</v>
      </c>
      <c r="X704" s="206">
        <f t="shared" si="273"/>
        <v>990.44999999999993</v>
      </c>
    </row>
    <row r="705" spans="1:24" x14ac:dyDescent="0.2">
      <c r="A705" s="114"/>
      <c r="B705" s="285" t="s">
        <v>526</v>
      </c>
      <c r="C705" s="149">
        <v>38.391059790720007</v>
      </c>
      <c r="D705" s="286"/>
      <c r="E705" s="149">
        <f t="shared" si="267"/>
        <v>40.62541947053991</v>
      </c>
      <c r="F705" s="149">
        <v>70</v>
      </c>
      <c r="G705" s="150">
        <v>77</v>
      </c>
      <c r="H705" s="166">
        <v>678</v>
      </c>
      <c r="I705" s="70">
        <v>1.0620000000000001</v>
      </c>
      <c r="J705" s="44">
        <f t="shared" si="269"/>
        <v>112.47267346700001</v>
      </c>
      <c r="K705" s="70">
        <v>1.0640000000000001</v>
      </c>
      <c r="L705" s="44">
        <f t="shared" si="242"/>
        <v>105.70739987500001</v>
      </c>
      <c r="M705" s="47">
        <v>1.07</v>
      </c>
      <c r="N705" s="44">
        <f t="shared" si="265"/>
        <v>98.791962499999997</v>
      </c>
      <c r="O705" s="70">
        <v>1.075</v>
      </c>
      <c r="P705" s="44">
        <f t="shared" si="249"/>
        <v>91.899500000000003</v>
      </c>
      <c r="Q705" s="70">
        <v>1.085</v>
      </c>
      <c r="R705" s="44">
        <f>S705</f>
        <v>84.7</v>
      </c>
      <c r="S705" s="44">
        <f t="shared" si="266"/>
        <v>84.7</v>
      </c>
      <c r="T705" s="50">
        <v>1.1000000000000001</v>
      </c>
      <c r="U705" s="44">
        <f t="shared" si="266"/>
        <v>770.43852000000004</v>
      </c>
      <c r="V705" s="203">
        <f t="shared" si="271"/>
        <v>725.46</v>
      </c>
      <c r="W705" s="266">
        <f t="shared" si="272"/>
        <v>725.46</v>
      </c>
      <c r="X705" s="206">
        <f t="shared" si="273"/>
        <v>990.44999999999993</v>
      </c>
    </row>
    <row r="706" spans="1:24" x14ac:dyDescent="0.2">
      <c r="A706" s="114"/>
      <c r="B706" s="128" t="s">
        <v>449</v>
      </c>
      <c r="C706" s="47">
        <v>316.79950865472006</v>
      </c>
      <c r="D706" s="284"/>
      <c r="E706" s="47">
        <f t="shared" si="267"/>
        <v>335.23724005842479</v>
      </c>
      <c r="F706" s="47">
        <v>578</v>
      </c>
      <c r="G706" s="44">
        <v>636</v>
      </c>
      <c r="H706" s="53">
        <f t="shared" si="268"/>
        <v>987.15685307400008</v>
      </c>
      <c r="I706" s="70">
        <v>1.0620000000000001</v>
      </c>
      <c r="J706" s="44">
        <f t="shared" si="269"/>
        <v>929.52622700000006</v>
      </c>
      <c r="K706" s="70">
        <v>1.0640000000000001</v>
      </c>
      <c r="L706" s="44">
        <f t="shared" si="242"/>
        <v>873.61487499999998</v>
      </c>
      <c r="M706" s="47">
        <v>1.07</v>
      </c>
      <c r="N706" s="44">
        <f t="shared" si="265"/>
        <v>816.46249999999998</v>
      </c>
      <c r="O706" s="70">
        <v>1.075</v>
      </c>
      <c r="P706" s="44">
        <f t="shared" si="249"/>
        <v>759.5</v>
      </c>
      <c r="Q706" s="70">
        <v>1.085</v>
      </c>
      <c r="R706" s="44">
        <v>700</v>
      </c>
      <c r="S706" s="44">
        <f t="shared" si="266"/>
        <v>699.6</v>
      </c>
      <c r="T706" s="50">
        <v>1.1000000000000001</v>
      </c>
      <c r="U706" s="44">
        <f t="shared" si="266"/>
        <v>1121.7458184221093</v>
      </c>
      <c r="V706" s="203">
        <f t="shared" si="271"/>
        <v>1056.2578327891802</v>
      </c>
      <c r="W706" s="266">
        <f t="shared" si="272"/>
        <v>1056.2578327891802</v>
      </c>
      <c r="X706" s="206">
        <f>1354*106.5%</f>
        <v>1442.01</v>
      </c>
    </row>
    <row r="707" spans="1:24" ht="15" customHeight="1" x14ac:dyDescent="0.2">
      <c r="A707" s="114"/>
      <c r="B707" s="33" t="s">
        <v>527</v>
      </c>
      <c r="C707" s="47">
        <v>598.57816505760013</v>
      </c>
      <c r="D707" s="284"/>
      <c r="E707" s="47">
        <f t="shared" si="267"/>
        <v>633.41541426395247</v>
      </c>
      <c r="F707" s="47">
        <v>1091.52</v>
      </c>
      <c r="G707" s="44">
        <v>1201</v>
      </c>
      <c r="H707" s="53">
        <f t="shared" si="268"/>
        <v>1862.9060041582202</v>
      </c>
      <c r="I707" s="70">
        <v>1.0620000000000001</v>
      </c>
      <c r="J707" s="44">
        <f t="shared" si="269"/>
        <v>1754.1487798100002</v>
      </c>
      <c r="K707" s="70">
        <v>1.0640000000000001</v>
      </c>
      <c r="L707" s="44">
        <f t="shared" si="242"/>
        <v>1648.63607125</v>
      </c>
      <c r="M707" s="47">
        <v>1.07</v>
      </c>
      <c r="N707" s="44">
        <f t="shared" si="265"/>
        <v>1540.7813749999998</v>
      </c>
      <c r="O707" s="70">
        <v>1.075</v>
      </c>
      <c r="P707" s="44">
        <f t="shared" si="249"/>
        <v>1433.2849999999999</v>
      </c>
      <c r="Q707" s="70">
        <v>1.085</v>
      </c>
      <c r="R707" s="44">
        <v>1321</v>
      </c>
      <c r="S707" s="44">
        <f t="shared" si="266"/>
        <v>1321.1000000000001</v>
      </c>
      <c r="T707" s="50">
        <v>1.1000000000000001</v>
      </c>
      <c r="U707" s="44">
        <f t="shared" si="266"/>
        <v>2116.894608765152</v>
      </c>
      <c r="V707" s="203">
        <f t="shared" si="271"/>
        <v>1993.3094244492956</v>
      </c>
      <c r="W707" s="266">
        <f t="shared" si="272"/>
        <v>1993.3094244492956</v>
      </c>
      <c r="X707" s="206">
        <f>2557*106.5%</f>
        <v>2723.2049999999999</v>
      </c>
    </row>
    <row r="708" spans="1:24" ht="15" customHeight="1" x14ac:dyDescent="0.2">
      <c r="A708" s="114"/>
      <c r="B708" s="147" t="s">
        <v>528</v>
      </c>
      <c r="C708" s="149">
        <v>162.35608491648003</v>
      </c>
      <c r="D708" s="286"/>
      <c r="E708" s="149">
        <f t="shared" si="267"/>
        <v>171.80520905861917</v>
      </c>
      <c r="F708" s="149">
        <v>296</v>
      </c>
      <c r="G708" s="150">
        <v>326</v>
      </c>
      <c r="H708" s="166">
        <v>678</v>
      </c>
      <c r="I708" s="70">
        <v>1.0620000000000001</v>
      </c>
      <c r="J708" s="44">
        <f t="shared" si="269"/>
        <v>476.71416498999997</v>
      </c>
      <c r="K708" s="70">
        <v>1.0640000000000001</v>
      </c>
      <c r="L708" s="44">
        <f t="shared" ref="L708:L759" si="274">M708*N708</f>
        <v>448.03962874999996</v>
      </c>
      <c r="M708" s="47">
        <v>1.07</v>
      </c>
      <c r="N708" s="44">
        <f t="shared" si="265"/>
        <v>418.72862499999997</v>
      </c>
      <c r="O708" s="70">
        <v>1.075</v>
      </c>
      <c r="P708" s="44">
        <f t="shared" si="249"/>
        <v>389.51499999999999</v>
      </c>
      <c r="Q708" s="70">
        <v>1.085</v>
      </c>
      <c r="R708" s="44">
        <v>359</v>
      </c>
      <c r="S708" s="44">
        <f t="shared" si="266"/>
        <v>358.6</v>
      </c>
      <c r="T708" s="50">
        <v>1.1000000000000001</v>
      </c>
      <c r="U708" s="44">
        <f t="shared" si="266"/>
        <v>770.43852000000004</v>
      </c>
      <c r="V708" s="203">
        <f t="shared" si="271"/>
        <v>725.46</v>
      </c>
      <c r="W708" s="266">
        <f t="shared" si="272"/>
        <v>725.46</v>
      </c>
      <c r="X708" s="206">
        <f>930*106.5%</f>
        <v>990.44999999999993</v>
      </c>
    </row>
    <row r="709" spans="1:24" ht="15" customHeight="1" x14ac:dyDescent="0.2">
      <c r="A709" s="114"/>
      <c r="B709" s="147" t="s">
        <v>479</v>
      </c>
      <c r="C709" s="149">
        <v>132.44915627798403</v>
      </c>
      <c r="D709" s="286"/>
      <c r="E709" s="149">
        <f t="shared" si="267"/>
        <v>140.15769717336269</v>
      </c>
      <c r="F709" s="149">
        <v>241.6</v>
      </c>
      <c r="G709" s="150">
        <v>266</v>
      </c>
      <c r="H709" s="166">
        <v>678</v>
      </c>
      <c r="I709" s="70">
        <v>1.0620000000000001</v>
      </c>
      <c r="J709" s="44">
        <f t="shared" si="269"/>
        <v>389.07312073000003</v>
      </c>
      <c r="K709" s="70">
        <v>1.0640000000000001</v>
      </c>
      <c r="L709" s="44">
        <f t="shared" si="274"/>
        <v>365.67022624999998</v>
      </c>
      <c r="M709" s="47">
        <v>1.07</v>
      </c>
      <c r="N709" s="44">
        <f t="shared" si="265"/>
        <v>341.74787499999996</v>
      </c>
      <c r="O709" s="70">
        <v>1.075</v>
      </c>
      <c r="P709" s="44">
        <f t="shared" si="249"/>
        <v>317.90499999999997</v>
      </c>
      <c r="Q709" s="70">
        <v>1.085</v>
      </c>
      <c r="R709" s="44">
        <v>293</v>
      </c>
      <c r="S709" s="44">
        <f t="shared" si="266"/>
        <v>292.60000000000002</v>
      </c>
      <c r="T709" s="50">
        <v>1.1000000000000001</v>
      </c>
      <c r="U709" s="44">
        <f t="shared" si="266"/>
        <v>770.43852000000004</v>
      </c>
      <c r="V709" s="203">
        <f t="shared" si="271"/>
        <v>725.46</v>
      </c>
      <c r="W709" s="266">
        <f t="shared" si="272"/>
        <v>725.46</v>
      </c>
      <c r="X709" s="206">
        <f t="shared" ref="X709:X710" si="275">930*106.5%</f>
        <v>990.44999999999993</v>
      </c>
    </row>
    <row r="710" spans="1:24" ht="15" customHeight="1" x14ac:dyDescent="0.2">
      <c r="A710" s="114"/>
      <c r="B710" s="147" t="s">
        <v>529</v>
      </c>
      <c r="C710" s="149">
        <v>132.44915627798403</v>
      </c>
      <c r="D710" s="286"/>
      <c r="E710" s="149">
        <f t="shared" si="267"/>
        <v>140.15769717336269</v>
      </c>
      <c r="F710" s="149">
        <v>241.6</v>
      </c>
      <c r="G710" s="150">
        <v>266</v>
      </c>
      <c r="H710" s="166">
        <v>678</v>
      </c>
      <c r="I710" s="70">
        <v>1.0620000000000001</v>
      </c>
      <c r="J710" s="44">
        <f t="shared" si="269"/>
        <v>389.07312073000003</v>
      </c>
      <c r="K710" s="70">
        <v>1.0640000000000001</v>
      </c>
      <c r="L710" s="44">
        <f t="shared" si="274"/>
        <v>365.67022624999998</v>
      </c>
      <c r="M710" s="47">
        <v>1.07</v>
      </c>
      <c r="N710" s="44">
        <f t="shared" si="265"/>
        <v>341.74787499999996</v>
      </c>
      <c r="O710" s="70">
        <v>1.075</v>
      </c>
      <c r="P710" s="44">
        <f t="shared" si="249"/>
        <v>317.90499999999997</v>
      </c>
      <c r="Q710" s="70">
        <v>1.085</v>
      </c>
      <c r="R710" s="44">
        <v>293</v>
      </c>
      <c r="S710" s="44">
        <f t="shared" si="266"/>
        <v>292.60000000000002</v>
      </c>
      <c r="T710" s="50">
        <v>1.1000000000000001</v>
      </c>
      <c r="U710" s="44">
        <f t="shared" si="266"/>
        <v>770.43852000000004</v>
      </c>
      <c r="V710" s="203">
        <f t="shared" si="271"/>
        <v>725.46</v>
      </c>
      <c r="W710" s="266">
        <f t="shared" si="272"/>
        <v>725.46</v>
      </c>
      <c r="X710" s="206">
        <f t="shared" si="275"/>
        <v>990.44999999999993</v>
      </c>
    </row>
    <row r="711" spans="1:24" ht="15" customHeight="1" x14ac:dyDescent="0.2">
      <c r="A711" s="114"/>
      <c r="B711" s="121" t="s">
        <v>494</v>
      </c>
      <c r="C711" s="47">
        <v>386.25509010816012</v>
      </c>
      <c r="D711" s="284"/>
      <c r="E711" s="47">
        <f t="shared" si="267"/>
        <v>408.73513635245507</v>
      </c>
      <c r="F711" s="47">
        <v>704</v>
      </c>
      <c r="G711" s="44">
        <v>774</v>
      </c>
      <c r="H711" s="53">
        <f t="shared" si="268"/>
        <v>1200.1006885228201</v>
      </c>
      <c r="I711" s="70">
        <v>1.0620000000000001</v>
      </c>
      <c r="J711" s="44">
        <f t="shared" si="269"/>
        <v>1130.03831311</v>
      </c>
      <c r="K711" s="70">
        <v>1.0640000000000001</v>
      </c>
      <c r="L711" s="44">
        <f t="shared" si="274"/>
        <v>1062.06608375</v>
      </c>
      <c r="M711" s="47">
        <v>1.07</v>
      </c>
      <c r="N711" s="44">
        <f t="shared" si="265"/>
        <v>992.58512499999983</v>
      </c>
      <c r="O711" s="70">
        <v>1.075</v>
      </c>
      <c r="P711" s="44">
        <f t="shared" si="249"/>
        <v>923.33499999999992</v>
      </c>
      <c r="Q711" s="70">
        <v>1.085</v>
      </c>
      <c r="R711" s="44">
        <v>851</v>
      </c>
      <c r="S711" s="44">
        <f t="shared" si="266"/>
        <v>851.40000000000009</v>
      </c>
      <c r="T711" s="50">
        <v>1.1000000000000001</v>
      </c>
      <c r="U711" s="44">
        <f t="shared" si="266"/>
        <v>1363.7224163960216</v>
      </c>
      <c r="V711" s="203">
        <f t="shared" si="271"/>
        <v>1284.1077367194175</v>
      </c>
      <c r="W711" s="266">
        <f t="shared" si="272"/>
        <v>1284.1077367194175</v>
      </c>
      <c r="X711" s="206">
        <f>1647*106.5%</f>
        <v>1754.0549999999998</v>
      </c>
    </row>
    <row r="712" spans="1:24" ht="15" customHeight="1" x14ac:dyDescent="0.2">
      <c r="A712" s="114"/>
      <c r="B712" s="121" t="s">
        <v>530</v>
      </c>
      <c r="C712" s="47">
        <v>708.76929850272006</v>
      </c>
      <c r="D712" s="284"/>
      <c r="E712" s="47">
        <f t="shared" si="267"/>
        <v>750.01967167557837</v>
      </c>
      <c r="F712" s="47">
        <v>1292.5</v>
      </c>
      <c r="G712" s="44">
        <v>1422</v>
      </c>
      <c r="H712" s="53">
        <f t="shared" si="268"/>
        <v>2205.5904545824801</v>
      </c>
      <c r="I712" s="70">
        <v>1.0620000000000001</v>
      </c>
      <c r="J712" s="44">
        <f t="shared" si="269"/>
        <v>2076.8271700400001</v>
      </c>
      <c r="K712" s="70">
        <v>1.0640000000000001</v>
      </c>
      <c r="L712" s="44">
        <f t="shared" si="274"/>
        <v>1951.9052349999999</v>
      </c>
      <c r="M712" s="47">
        <v>1.07</v>
      </c>
      <c r="N712" s="44">
        <f t="shared" si="265"/>
        <v>1824.2104999999999</v>
      </c>
      <c r="O712" s="70">
        <v>1.075</v>
      </c>
      <c r="P712" s="44">
        <f t="shared" si="249"/>
        <v>1696.94</v>
      </c>
      <c r="Q712" s="70">
        <v>1.085</v>
      </c>
      <c r="R712" s="44">
        <v>1564</v>
      </c>
      <c r="S712" s="44">
        <f t="shared" si="266"/>
        <v>1564.2</v>
      </c>
      <c r="T712" s="50">
        <v>1.1000000000000001</v>
      </c>
      <c r="U712" s="44">
        <f t="shared" si="266"/>
        <v>2506.3006571602559</v>
      </c>
      <c r="V712" s="203">
        <f t="shared" si="271"/>
        <v>2359.9817864032539</v>
      </c>
      <c r="W712" s="266">
        <f t="shared" si="272"/>
        <v>2359.9817864032539</v>
      </c>
      <c r="X712" s="206">
        <f>3027*106.5%</f>
        <v>3223.7549999999997</v>
      </c>
    </row>
    <row r="713" spans="1:24" ht="15" customHeight="1" x14ac:dyDescent="0.2">
      <c r="A713" s="115"/>
      <c r="B713" s="121" t="s">
        <v>310</v>
      </c>
      <c r="C713" s="47"/>
      <c r="D713" s="284"/>
      <c r="E713" s="47"/>
      <c r="F713" s="47"/>
      <c r="G713" s="44"/>
      <c r="H713" s="53">
        <f t="shared" si="268"/>
        <v>1414.6069392000004</v>
      </c>
      <c r="I713" s="70">
        <v>1.0620000000000001</v>
      </c>
      <c r="J713" s="44">
        <f t="shared" si="269"/>
        <v>1332.0216000000003</v>
      </c>
      <c r="K713" s="70">
        <v>1.0640000000000001</v>
      </c>
      <c r="L713" s="44">
        <f t="shared" si="274"/>
        <v>1251.9000000000001</v>
      </c>
      <c r="M713" s="47">
        <v>1.07</v>
      </c>
      <c r="N713" s="44">
        <v>1170</v>
      </c>
      <c r="O713" s="70"/>
      <c r="P713" s="44"/>
      <c r="Q713" s="70"/>
      <c r="R713" s="44"/>
      <c r="S713" s="44"/>
      <c r="T713" s="50"/>
      <c r="U713" s="44"/>
      <c r="V713" s="203">
        <f t="shared" si="271"/>
        <v>1513.6294249440004</v>
      </c>
      <c r="W713" s="266">
        <f t="shared" si="272"/>
        <v>1513.6294249440004</v>
      </c>
      <c r="X713" s="206">
        <f>1942*106.5%</f>
        <v>2068.23</v>
      </c>
    </row>
    <row r="714" spans="1:24" ht="15" customHeight="1" x14ac:dyDescent="0.25">
      <c r="A714" s="362" t="s">
        <v>251</v>
      </c>
      <c r="B714" s="345" t="s">
        <v>373</v>
      </c>
      <c r="C714" s="346"/>
      <c r="D714" s="346"/>
      <c r="E714" s="346"/>
      <c r="F714" s="346"/>
      <c r="G714" s="346"/>
      <c r="H714" s="346"/>
      <c r="I714" s="346"/>
      <c r="J714" s="347"/>
      <c r="K714" s="47"/>
      <c r="L714" s="44"/>
      <c r="M714" s="47"/>
      <c r="N714" s="44"/>
      <c r="O714" s="70"/>
      <c r="P714" s="44"/>
      <c r="Q714" s="70"/>
      <c r="R714" s="44"/>
      <c r="S714" s="44"/>
      <c r="T714" s="50"/>
      <c r="U714" s="44"/>
      <c r="V714" s="15"/>
      <c r="X714" s="206"/>
    </row>
    <row r="715" spans="1:24" ht="15" customHeight="1" x14ac:dyDescent="0.2">
      <c r="A715" s="363"/>
      <c r="B715" s="33" t="s">
        <v>471</v>
      </c>
      <c r="C715" s="47">
        <v>61.235205673824012</v>
      </c>
      <c r="D715" s="284"/>
      <c r="E715" s="47">
        <f>C715*1.0582</f>
        <v>64.799094644040565</v>
      </c>
      <c r="F715" s="47">
        <v>111.7</v>
      </c>
      <c r="G715" s="44">
        <v>123</v>
      </c>
      <c r="H715" s="53">
        <f>J715*I715</f>
        <v>190.3802502357</v>
      </c>
      <c r="I715" s="70">
        <v>1.0620000000000001</v>
      </c>
      <c r="J715" s="44">
        <f>K715*L715</f>
        <v>179.26577234999999</v>
      </c>
      <c r="K715" s="70">
        <v>1.0640000000000001</v>
      </c>
      <c r="L715" s="44">
        <f t="shared" si="274"/>
        <v>168.48286874999999</v>
      </c>
      <c r="M715" s="47">
        <v>1.07</v>
      </c>
      <c r="N715" s="44">
        <f t="shared" si="265"/>
        <v>157.46062499999999</v>
      </c>
      <c r="O715" s="70">
        <v>1.075</v>
      </c>
      <c r="P715" s="44">
        <f t="shared" si="249"/>
        <v>146.47499999999999</v>
      </c>
      <c r="Q715" s="70">
        <v>1.085</v>
      </c>
      <c r="R715" s="44">
        <v>135</v>
      </c>
      <c r="S715" s="44">
        <f>G715*T715</f>
        <v>135.30000000000001</v>
      </c>
      <c r="T715" s="50">
        <v>1.1000000000000001</v>
      </c>
      <c r="U715" s="44">
        <f>I715*V715</f>
        <v>216.33669355283536</v>
      </c>
      <c r="V715" s="203">
        <f>H715*107%</f>
        <v>203.706867752199</v>
      </c>
      <c r="W715" s="266">
        <f>V715</f>
        <v>203.706867752199</v>
      </c>
      <c r="X715" s="206">
        <f>262*106.5%</f>
        <v>279.02999999999997</v>
      </c>
    </row>
    <row r="716" spans="1:24" ht="15" customHeight="1" x14ac:dyDescent="0.2">
      <c r="A716" s="363"/>
      <c r="B716" s="33" t="s">
        <v>531</v>
      </c>
      <c r="C716" s="47">
        <v>593.88918065568009</v>
      </c>
      <c r="D716" s="284"/>
      <c r="E716" s="47">
        <f>C716*1.0582</f>
        <v>628.4535309698407</v>
      </c>
      <c r="F716" s="47">
        <v>1083</v>
      </c>
      <c r="G716" s="44">
        <v>1191</v>
      </c>
      <c r="H716" s="53">
        <f>J716*I716</f>
        <v>1847.3935393242002</v>
      </c>
      <c r="I716" s="70">
        <v>1.0620000000000001</v>
      </c>
      <c r="J716" s="44">
        <f>K716*L716</f>
        <v>1739.5419391</v>
      </c>
      <c r="K716" s="70">
        <v>1.0640000000000001</v>
      </c>
      <c r="L716" s="44">
        <f t="shared" si="274"/>
        <v>1634.9078374999999</v>
      </c>
      <c r="M716" s="47">
        <v>1.07</v>
      </c>
      <c r="N716" s="44">
        <f t="shared" si="265"/>
        <v>1527.9512499999998</v>
      </c>
      <c r="O716" s="70">
        <v>1.075</v>
      </c>
      <c r="P716" s="44">
        <f t="shared" si="249"/>
        <v>1421.35</v>
      </c>
      <c r="Q716" s="70">
        <v>1.085</v>
      </c>
      <c r="R716" s="44">
        <v>1310</v>
      </c>
      <c r="S716" s="44">
        <f>G716*T716</f>
        <v>1310.1000000000001</v>
      </c>
      <c r="T716" s="50">
        <v>1.1000000000000001</v>
      </c>
      <c r="U716" s="44">
        <f>I716*V716</f>
        <v>2099.2671744756617</v>
      </c>
      <c r="V716" s="203">
        <f>H716*107%</f>
        <v>1976.7110870768943</v>
      </c>
      <c r="W716" s="266">
        <f>V716</f>
        <v>1976.7110870768943</v>
      </c>
      <c r="X716" s="206">
        <f>2536*106.5%</f>
        <v>2700.8399999999997</v>
      </c>
    </row>
    <row r="717" spans="1:24" ht="15" customHeight="1" x14ac:dyDescent="0.2">
      <c r="A717" s="363"/>
      <c r="B717" s="33" t="s">
        <v>532</v>
      </c>
      <c r="C717" s="47">
        <v>499.08377727936016</v>
      </c>
      <c r="D717" s="284"/>
      <c r="E717" s="47">
        <f>C717*1.0582</f>
        <v>528.13045311701899</v>
      </c>
      <c r="F717" s="47">
        <v>910</v>
      </c>
      <c r="G717" s="44">
        <v>1001</v>
      </c>
      <c r="H717" s="53">
        <f>J717*I717</f>
        <v>1552.6567074778204</v>
      </c>
      <c r="I717" s="70">
        <v>1.0620000000000001</v>
      </c>
      <c r="J717" s="44">
        <f>K717*L717</f>
        <v>1462.0119656100003</v>
      </c>
      <c r="K717" s="70">
        <v>1.0640000000000001</v>
      </c>
      <c r="L717" s="44">
        <f t="shared" si="274"/>
        <v>1374.0713962500001</v>
      </c>
      <c r="M717" s="47">
        <v>1.07</v>
      </c>
      <c r="N717" s="44">
        <f t="shared" si="265"/>
        <v>1284.1788750000001</v>
      </c>
      <c r="O717" s="70">
        <v>1.075</v>
      </c>
      <c r="P717" s="44">
        <f t="shared" si="249"/>
        <v>1194.585</v>
      </c>
      <c r="Q717" s="70">
        <v>1.085</v>
      </c>
      <c r="R717" s="44">
        <v>1101</v>
      </c>
      <c r="S717" s="44">
        <f>G717*T717</f>
        <v>1101.1000000000001</v>
      </c>
      <c r="T717" s="50">
        <v>1.1000000000000001</v>
      </c>
      <c r="U717" s="44">
        <f>I717*V717</f>
        <v>1764.3459229753466</v>
      </c>
      <c r="V717" s="203">
        <f>H717*107%</f>
        <v>1661.3426770012679</v>
      </c>
      <c r="W717" s="266">
        <f>V717</f>
        <v>1661.3426770012679</v>
      </c>
      <c r="X717" s="206">
        <f>2130*106.5%</f>
        <v>2268.4499999999998</v>
      </c>
    </row>
    <row r="718" spans="1:24" s="18" customFormat="1" ht="27.95" customHeight="1" x14ac:dyDescent="0.25">
      <c r="A718" s="128" t="s">
        <v>252</v>
      </c>
      <c r="B718" s="345" t="s">
        <v>717</v>
      </c>
      <c r="C718" s="346"/>
      <c r="D718" s="346"/>
      <c r="E718" s="346"/>
      <c r="F718" s="346"/>
      <c r="G718" s="346"/>
      <c r="H718" s="346"/>
      <c r="I718" s="346"/>
      <c r="J718" s="347"/>
      <c r="K718" s="47"/>
      <c r="L718" s="44"/>
      <c r="M718" s="47"/>
      <c r="N718" s="44"/>
      <c r="O718" s="70"/>
      <c r="P718" s="44"/>
      <c r="Q718" s="70"/>
      <c r="R718" s="44"/>
      <c r="S718" s="44"/>
      <c r="T718" s="50"/>
      <c r="U718" s="44"/>
      <c r="V718" s="15"/>
      <c r="X718" s="206"/>
    </row>
    <row r="719" spans="1:24" ht="14.1" customHeight="1" x14ac:dyDescent="0.25">
      <c r="A719" s="413" t="s">
        <v>253</v>
      </c>
      <c r="B719" s="345" t="s">
        <v>374</v>
      </c>
      <c r="C719" s="346"/>
      <c r="D719" s="346"/>
      <c r="E719" s="346"/>
      <c r="F719" s="346"/>
      <c r="G719" s="346"/>
      <c r="H719" s="346"/>
      <c r="I719" s="346"/>
      <c r="J719" s="347"/>
      <c r="K719" s="47"/>
      <c r="L719" s="44"/>
      <c r="M719" s="47"/>
      <c r="N719" s="44"/>
      <c r="O719" s="70"/>
      <c r="P719" s="44"/>
      <c r="Q719" s="70"/>
      <c r="R719" s="44"/>
      <c r="S719" s="44"/>
      <c r="T719" s="50"/>
      <c r="U719" s="44"/>
      <c r="V719" s="15"/>
      <c r="X719" s="206"/>
    </row>
    <row r="720" spans="1:24" ht="14.1" customHeight="1" x14ac:dyDescent="0.2">
      <c r="A720" s="414"/>
      <c r="B720" s="33" t="s">
        <v>471</v>
      </c>
      <c r="C720" s="47">
        <v>38.361753638208008</v>
      </c>
      <c r="D720" s="284"/>
      <c r="E720" s="47">
        <f t="shared" ref="E720:E726" si="276">C720*1.0582</f>
        <v>40.594407699951716</v>
      </c>
      <c r="F720" s="47">
        <v>57</v>
      </c>
      <c r="G720" s="44">
        <v>63</v>
      </c>
      <c r="H720" s="53">
        <f t="shared" ref="H720:H731" si="277">J720*I720</f>
        <v>97.305461231580011</v>
      </c>
      <c r="I720" s="70">
        <v>1.0620000000000001</v>
      </c>
      <c r="J720" s="44">
        <f t="shared" ref="J720:J726" si="278">K720*L720</f>
        <v>91.624728090000005</v>
      </c>
      <c r="K720" s="70">
        <v>1.0640000000000001</v>
      </c>
      <c r="L720" s="44">
        <f t="shared" si="274"/>
        <v>86.113466250000002</v>
      </c>
      <c r="M720" s="47">
        <v>1.07</v>
      </c>
      <c r="N720" s="44">
        <f t="shared" si="265"/>
        <v>80.479874999999993</v>
      </c>
      <c r="O720" s="70">
        <v>1.075</v>
      </c>
      <c r="P720" s="44">
        <f t="shared" ref="P720:P771" si="279">Q720*R720</f>
        <v>74.864999999999995</v>
      </c>
      <c r="Q720" s="70">
        <v>1.085</v>
      </c>
      <c r="R720" s="44">
        <v>69</v>
      </c>
      <c r="S720" s="44">
        <f t="shared" ref="S720:U726" si="280">G720*T720</f>
        <v>69.300000000000011</v>
      </c>
      <c r="T720" s="50">
        <v>1.1000000000000001</v>
      </c>
      <c r="U720" s="44">
        <f t="shared" si="280"/>
        <v>110.57208781589364</v>
      </c>
      <c r="V720" s="203">
        <f t="shared" ref="V720:V731" si="281">H720*107%</f>
        <v>104.11684351779061</v>
      </c>
      <c r="W720" s="266">
        <f t="shared" ref="W720:W731" si="282">V720</f>
        <v>104.11684351779061</v>
      </c>
      <c r="X720" s="206">
        <f>134*106.5%</f>
        <v>142.70999999999998</v>
      </c>
    </row>
    <row r="721" spans="1:24" ht="14.1" customHeight="1" x14ac:dyDescent="0.2">
      <c r="A721" s="414"/>
      <c r="B721" s="33" t="s">
        <v>533</v>
      </c>
      <c r="C721" s="47">
        <v>70.378725257568036</v>
      </c>
      <c r="D721" s="284"/>
      <c r="E721" s="47">
        <f t="shared" si="276"/>
        <v>74.474767067558503</v>
      </c>
      <c r="F721" s="47">
        <v>101</v>
      </c>
      <c r="G721" s="44">
        <v>111</v>
      </c>
      <c r="H721" s="53">
        <f t="shared" si="277"/>
        <v>172.04733725004002</v>
      </c>
      <c r="I721" s="70">
        <v>1.0620000000000001</v>
      </c>
      <c r="J721" s="44">
        <f t="shared" si="278"/>
        <v>162.00314242000002</v>
      </c>
      <c r="K721" s="70">
        <v>1.0640000000000001</v>
      </c>
      <c r="L721" s="44">
        <f t="shared" si="274"/>
        <v>152.25859250000002</v>
      </c>
      <c r="M721" s="47">
        <v>1.07</v>
      </c>
      <c r="N721" s="44">
        <f t="shared" si="265"/>
        <v>142.29775000000001</v>
      </c>
      <c r="O721" s="70">
        <v>1.075</v>
      </c>
      <c r="P721" s="44">
        <f t="shared" si="279"/>
        <v>132.37</v>
      </c>
      <c r="Q721" s="70">
        <v>1.085</v>
      </c>
      <c r="R721" s="44">
        <v>122</v>
      </c>
      <c r="S721" s="44">
        <f t="shared" si="280"/>
        <v>122.10000000000001</v>
      </c>
      <c r="T721" s="50">
        <v>1.1000000000000001</v>
      </c>
      <c r="U721" s="44">
        <f t="shared" si="280"/>
        <v>195.5042712107105</v>
      </c>
      <c r="V721" s="203">
        <f t="shared" si="281"/>
        <v>184.09065085754284</v>
      </c>
      <c r="W721" s="266">
        <f t="shared" si="282"/>
        <v>184.09065085754284</v>
      </c>
      <c r="X721" s="206">
        <f>236*106.5%</f>
        <v>251.33999999999997</v>
      </c>
    </row>
    <row r="722" spans="1:24" ht="14.1" customHeight="1" x14ac:dyDescent="0.2">
      <c r="A722" s="414"/>
      <c r="B722" s="33" t="s">
        <v>534</v>
      </c>
      <c r="C722" s="47">
        <v>137.46050835753601</v>
      </c>
      <c r="D722" s="284"/>
      <c r="E722" s="47">
        <f t="shared" si="276"/>
        <v>145.46070994394461</v>
      </c>
      <c r="F722" s="47">
        <v>198</v>
      </c>
      <c r="G722" s="44">
        <v>218</v>
      </c>
      <c r="H722" s="53">
        <f t="shared" si="277"/>
        <v>338.45377819679999</v>
      </c>
      <c r="I722" s="70">
        <v>1.0620000000000001</v>
      </c>
      <c r="J722" s="44">
        <f t="shared" si="278"/>
        <v>318.69470639999997</v>
      </c>
      <c r="K722" s="70">
        <v>1.0640000000000001</v>
      </c>
      <c r="L722" s="44">
        <f t="shared" si="274"/>
        <v>299.52509999999995</v>
      </c>
      <c r="M722" s="47">
        <v>1.07</v>
      </c>
      <c r="N722" s="44">
        <f t="shared" si="265"/>
        <v>279.92999999999995</v>
      </c>
      <c r="O722" s="70">
        <v>1.075</v>
      </c>
      <c r="P722" s="44">
        <f t="shared" si="279"/>
        <v>260.39999999999998</v>
      </c>
      <c r="Q722" s="70">
        <v>1.085</v>
      </c>
      <c r="R722" s="44">
        <v>240</v>
      </c>
      <c r="S722" s="44">
        <f t="shared" si="280"/>
        <v>239.8</v>
      </c>
      <c r="T722" s="50">
        <v>1.1000000000000001</v>
      </c>
      <c r="U722" s="44">
        <f t="shared" si="280"/>
        <v>384.59856631615173</v>
      </c>
      <c r="V722" s="203">
        <f t="shared" si="281"/>
        <v>362.14554267057599</v>
      </c>
      <c r="W722" s="266">
        <f t="shared" si="282"/>
        <v>362.14554267057599</v>
      </c>
      <c r="X722" s="206">
        <f>464*106.5%</f>
        <v>494.15999999999997</v>
      </c>
    </row>
    <row r="723" spans="1:24" ht="14.1" customHeight="1" x14ac:dyDescent="0.2">
      <c r="A723" s="414"/>
      <c r="B723" s="33" t="s">
        <v>535</v>
      </c>
      <c r="C723" s="47">
        <v>142.88214657225603</v>
      </c>
      <c r="D723" s="284"/>
      <c r="E723" s="47">
        <f t="shared" si="276"/>
        <v>151.19788750276135</v>
      </c>
      <c r="F723" s="47">
        <v>206</v>
      </c>
      <c r="G723" s="44">
        <v>227</v>
      </c>
      <c r="H723" s="53">
        <f t="shared" si="277"/>
        <v>352.55601895500001</v>
      </c>
      <c r="I723" s="70">
        <v>1.0620000000000001</v>
      </c>
      <c r="J723" s="44">
        <f t="shared" si="278"/>
        <v>331.97365250000001</v>
      </c>
      <c r="K723" s="70">
        <v>1.0640000000000001</v>
      </c>
      <c r="L723" s="44">
        <f t="shared" si="274"/>
        <v>312.0053125</v>
      </c>
      <c r="M723" s="47">
        <v>1.07</v>
      </c>
      <c r="N723" s="44">
        <f t="shared" si="265"/>
        <v>291.59375</v>
      </c>
      <c r="O723" s="70">
        <v>1.075</v>
      </c>
      <c r="P723" s="44">
        <f t="shared" si="279"/>
        <v>271.25</v>
      </c>
      <c r="Q723" s="70">
        <v>1.085</v>
      </c>
      <c r="R723" s="44">
        <v>250</v>
      </c>
      <c r="S723" s="44">
        <f t="shared" si="280"/>
        <v>249.70000000000002</v>
      </c>
      <c r="T723" s="50">
        <v>1.1000000000000001</v>
      </c>
      <c r="U723" s="44">
        <f t="shared" si="280"/>
        <v>400.62350657932473</v>
      </c>
      <c r="V723" s="203">
        <f t="shared" si="281"/>
        <v>377.23494028185002</v>
      </c>
      <c r="W723" s="266">
        <f t="shared" si="282"/>
        <v>377.23494028185002</v>
      </c>
      <c r="X723" s="206">
        <f>483*106.5%</f>
        <v>514.39499999999998</v>
      </c>
    </row>
    <row r="724" spans="1:24" ht="14.1" customHeight="1" x14ac:dyDescent="0.2">
      <c r="A724" s="414"/>
      <c r="B724" s="33" t="s">
        <v>536</v>
      </c>
      <c r="C724" s="47">
        <v>122.55832980518403</v>
      </c>
      <c r="D724" s="284"/>
      <c r="E724" s="47">
        <f t="shared" si="276"/>
        <v>129.69122459984575</v>
      </c>
      <c r="F724" s="47">
        <v>177</v>
      </c>
      <c r="G724" s="44">
        <v>195</v>
      </c>
      <c r="H724" s="53">
        <f t="shared" si="277"/>
        <v>303.19817630130007</v>
      </c>
      <c r="I724" s="70">
        <v>1.0620000000000001</v>
      </c>
      <c r="J724" s="44">
        <f t="shared" si="278"/>
        <v>285.49734115000007</v>
      </c>
      <c r="K724" s="70">
        <v>1.0640000000000001</v>
      </c>
      <c r="L724" s="44">
        <f t="shared" si="274"/>
        <v>268.32456875000003</v>
      </c>
      <c r="M724" s="47">
        <v>1.07</v>
      </c>
      <c r="N724" s="44">
        <f t="shared" si="265"/>
        <v>250.770625</v>
      </c>
      <c r="O724" s="70">
        <v>1.075</v>
      </c>
      <c r="P724" s="44">
        <f t="shared" si="279"/>
        <v>233.27500000000001</v>
      </c>
      <c r="Q724" s="70">
        <v>1.085</v>
      </c>
      <c r="R724" s="44">
        <v>215</v>
      </c>
      <c r="S724" s="44">
        <f t="shared" si="280"/>
        <v>214.50000000000003</v>
      </c>
      <c r="T724" s="50">
        <v>1.1000000000000001</v>
      </c>
      <c r="U724" s="44">
        <f t="shared" si="280"/>
        <v>344.53621565821936</v>
      </c>
      <c r="V724" s="203">
        <f t="shared" si="281"/>
        <v>324.42204864239108</v>
      </c>
      <c r="W724" s="266">
        <f t="shared" si="282"/>
        <v>324.42204864239108</v>
      </c>
      <c r="X724" s="206">
        <f>416*106.5%</f>
        <v>443.03999999999996</v>
      </c>
    </row>
    <row r="725" spans="1:24" ht="14.1" customHeight="1" x14ac:dyDescent="0.2">
      <c r="A725" s="414"/>
      <c r="B725" s="33" t="s">
        <v>537</v>
      </c>
      <c r="C725" s="47">
        <v>88.607152120032012</v>
      </c>
      <c r="D725" s="284"/>
      <c r="E725" s="47">
        <f t="shared" si="276"/>
        <v>93.764088373417877</v>
      </c>
      <c r="F725" s="47">
        <v>128</v>
      </c>
      <c r="G725" s="44">
        <v>141</v>
      </c>
      <c r="H725" s="53">
        <f t="shared" si="277"/>
        <v>218.5847317521</v>
      </c>
      <c r="I725" s="70">
        <v>1.0620000000000001</v>
      </c>
      <c r="J725" s="44">
        <f t="shared" si="278"/>
        <v>205.82366454999999</v>
      </c>
      <c r="K725" s="70">
        <v>1.0640000000000001</v>
      </c>
      <c r="L725" s="44">
        <f t="shared" si="274"/>
        <v>193.44329374999998</v>
      </c>
      <c r="M725" s="47">
        <v>1.07</v>
      </c>
      <c r="N725" s="44">
        <f t="shared" si="265"/>
        <v>180.78812499999998</v>
      </c>
      <c r="O725" s="70">
        <v>1.075</v>
      </c>
      <c r="P725" s="44">
        <f t="shared" si="279"/>
        <v>168.17499999999998</v>
      </c>
      <c r="Q725" s="70">
        <v>1.085</v>
      </c>
      <c r="R725" s="44">
        <v>155</v>
      </c>
      <c r="S725" s="44">
        <f t="shared" si="280"/>
        <v>155.10000000000002</v>
      </c>
      <c r="T725" s="50">
        <v>1.1000000000000001</v>
      </c>
      <c r="U725" s="44">
        <f t="shared" si="280"/>
        <v>248.38657407918134</v>
      </c>
      <c r="V725" s="203">
        <f t="shared" si="281"/>
        <v>233.88566297474702</v>
      </c>
      <c r="W725" s="266">
        <f t="shared" si="282"/>
        <v>233.88566297474702</v>
      </c>
      <c r="X725" s="206">
        <f>300*106.5%</f>
        <v>319.5</v>
      </c>
    </row>
    <row r="726" spans="1:24" ht="14.1" customHeight="1" x14ac:dyDescent="0.2">
      <c r="A726" s="414"/>
      <c r="B726" s="33" t="s">
        <v>538</v>
      </c>
      <c r="C726" s="47">
        <v>69.616765292256005</v>
      </c>
      <c r="D726" s="284"/>
      <c r="E726" s="47">
        <f t="shared" si="276"/>
        <v>73.668461032265313</v>
      </c>
      <c r="F726" s="47">
        <v>100</v>
      </c>
      <c r="G726" s="44">
        <v>110</v>
      </c>
      <c r="H726" s="53">
        <f t="shared" si="277"/>
        <v>170.63711317422002</v>
      </c>
      <c r="I726" s="70">
        <v>1.0620000000000001</v>
      </c>
      <c r="J726" s="44">
        <f t="shared" si="278"/>
        <v>160.67524781</v>
      </c>
      <c r="K726" s="70">
        <v>1.0640000000000001</v>
      </c>
      <c r="L726" s="44">
        <f t="shared" si="274"/>
        <v>151.01057125</v>
      </c>
      <c r="M726" s="47">
        <v>1.07</v>
      </c>
      <c r="N726" s="44">
        <f t="shared" si="265"/>
        <v>141.13137499999999</v>
      </c>
      <c r="O726" s="70">
        <v>1.075</v>
      </c>
      <c r="P726" s="44">
        <f t="shared" si="279"/>
        <v>131.285</v>
      </c>
      <c r="Q726" s="70">
        <v>1.085</v>
      </c>
      <c r="R726" s="44">
        <v>121</v>
      </c>
      <c r="S726" s="44">
        <f t="shared" si="280"/>
        <v>121.00000000000001</v>
      </c>
      <c r="T726" s="50">
        <v>1.1000000000000001</v>
      </c>
      <c r="U726" s="44">
        <f t="shared" si="280"/>
        <v>193.90177718439321</v>
      </c>
      <c r="V726" s="203">
        <f t="shared" si="281"/>
        <v>182.58171109641543</v>
      </c>
      <c r="W726" s="266">
        <f t="shared" si="282"/>
        <v>182.58171109641543</v>
      </c>
      <c r="X726" s="206">
        <f>235*106.5%</f>
        <v>250.27499999999998</v>
      </c>
    </row>
    <row r="727" spans="1:24" ht="14.1" customHeight="1" x14ac:dyDescent="0.2">
      <c r="A727" s="414"/>
      <c r="B727" s="33" t="s">
        <v>769</v>
      </c>
      <c r="C727" s="47"/>
      <c r="D727" s="284"/>
      <c r="E727" s="47"/>
      <c r="F727" s="47"/>
      <c r="G727" s="44"/>
      <c r="H727" s="53">
        <f t="shared" si="277"/>
        <v>108.32400000000001</v>
      </c>
      <c r="I727" s="70">
        <v>1.0620000000000001</v>
      </c>
      <c r="J727" s="44">
        <v>102</v>
      </c>
      <c r="K727" s="70"/>
      <c r="L727" s="44"/>
      <c r="M727" s="47"/>
      <c r="N727" s="44"/>
      <c r="O727" s="70"/>
      <c r="P727" s="44"/>
      <c r="Q727" s="70"/>
      <c r="R727" s="44"/>
      <c r="S727" s="44"/>
      <c r="T727" s="50"/>
      <c r="U727" s="44"/>
      <c r="V727" s="203">
        <f t="shared" si="281"/>
        <v>115.90668000000002</v>
      </c>
      <c r="W727" s="266">
        <f t="shared" si="282"/>
        <v>115.90668000000002</v>
      </c>
      <c r="X727" s="206">
        <f>148*106.5%</f>
        <v>157.62</v>
      </c>
    </row>
    <row r="728" spans="1:24" ht="14.1" customHeight="1" x14ac:dyDescent="0.2">
      <c r="A728" s="414"/>
      <c r="B728" s="33" t="s">
        <v>770</v>
      </c>
      <c r="C728" s="47"/>
      <c r="D728" s="284"/>
      <c r="E728" s="47"/>
      <c r="F728" s="47"/>
      <c r="G728" s="44"/>
      <c r="H728" s="53">
        <f t="shared" si="277"/>
        <v>373.82400000000001</v>
      </c>
      <c r="I728" s="70">
        <v>1.0620000000000001</v>
      </c>
      <c r="J728" s="44">
        <v>352</v>
      </c>
      <c r="K728" s="70"/>
      <c r="L728" s="44"/>
      <c r="M728" s="47"/>
      <c r="N728" s="44"/>
      <c r="O728" s="70"/>
      <c r="P728" s="44"/>
      <c r="Q728" s="70"/>
      <c r="R728" s="44"/>
      <c r="S728" s="44"/>
      <c r="T728" s="50"/>
      <c r="U728" s="44"/>
      <c r="V728" s="203">
        <f t="shared" si="281"/>
        <v>399.99168000000003</v>
      </c>
      <c r="W728" s="266">
        <f t="shared" si="282"/>
        <v>399.99168000000003</v>
      </c>
      <c r="X728" s="206">
        <f>512*106.5%</f>
        <v>545.28</v>
      </c>
    </row>
    <row r="729" spans="1:24" ht="14.1" customHeight="1" x14ac:dyDescent="0.2">
      <c r="A729" s="414"/>
      <c r="B729" s="33" t="s">
        <v>771</v>
      </c>
      <c r="C729" s="47"/>
      <c r="D729" s="284"/>
      <c r="E729" s="47"/>
      <c r="F729" s="47"/>
      <c r="G729" s="44"/>
      <c r="H729" s="53">
        <f t="shared" si="277"/>
        <v>313.29000000000002</v>
      </c>
      <c r="I729" s="70">
        <v>1.0620000000000001</v>
      </c>
      <c r="J729" s="44">
        <v>295</v>
      </c>
      <c r="K729" s="70"/>
      <c r="L729" s="44"/>
      <c r="M729" s="47"/>
      <c r="N729" s="44"/>
      <c r="O729" s="70"/>
      <c r="P729" s="44"/>
      <c r="Q729" s="70"/>
      <c r="R729" s="44"/>
      <c r="S729" s="44"/>
      <c r="T729" s="50"/>
      <c r="U729" s="44"/>
      <c r="V729" s="203">
        <f t="shared" si="281"/>
        <v>335.22030000000007</v>
      </c>
      <c r="W729" s="266">
        <f t="shared" si="282"/>
        <v>335.22030000000007</v>
      </c>
      <c r="X729" s="206">
        <f>430*106.5%</f>
        <v>457.95</v>
      </c>
    </row>
    <row r="730" spans="1:24" ht="14.1" customHeight="1" x14ac:dyDescent="0.2">
      <c r="A730" s="414"/>
      <c r="B730" s="33" t="s">
        <v>773</v>
      </c>
      <c r="C730" s="47"/>
      <c r="D730" s="284"/>
      <c r="E730" s="47"/>
      <c r="F730" s="47"/>
      <c r="G730" s="44"/>
      <c r="H730" s="53">
        <f t="shared" si="277"/>
        <v>159.30000000000001</v>
      </c>
      <c r="I730" s="70">
        <v>1.0620000000000001</v>
      </c>
      <c r="J730" s="44">
        <v>150</v>
      </c>
      <c r="K730" s="70"/>
      <c r="L730" s="44"/>
      <c r="M730" s="47"/>
      <c r="N730" s="44"/>
      <c r="O730" s="70"/>
      <c r="P730" s="44"/>
      <c r="Q730" s="70"/>
      <c r="R730" s="44"/>
      <c r="S730" s="44"/>
      <c r="T730" s="50"/>
      <c r="U730" s="44"/>
      <c r="V730" s="203">
        <f t="shared" si="281"/>
        <v>170.45100000000002</v>
      </c>
      <c r="W730" s="266">
        <f t="shared" si="282"/>
        <v>170.45100000000002</v>
      </c>
      <c r="X730" s="206">
        <f>217*106.5%</f>
        <v>231.10499999999999</v>
      </c>
    </row>
    <row r="731" spans="1:24" ht="14.1" customHeight="1" x14ac:dyDescent="0.2">
      <c r="A731" s="415"/>
      <c r="B731" s="33" t="s">
        <v>772</v>
      </c>
      <c r="C731" s="47"/>
      <c r="D731" s="284"/>
      <c r="E731" s="47"/>
      <c r="F731" s="47"/>
      <c r="G731" s="44"/>
      <c r="H731" s="53">
        <f t="shared" si="277"/>
        <v>435.42</v>
      </c>
      <c r="I731" s="70">
        <v>1.0620000000000001</v>
      </c>
      <c r="J731" s="44">
        <v>410</v>
      </c>
      <c r="K731" s="70"/>
      <c r="L731" s="44"/>
      <c r="M731" s="47"/>
      <c r="N731" s="44"/>
      <c r="O731" s="70"/>
      <c r="P731" s="44"/>
      <c r="Q731" s="70"/>
      <c r="R731" s="44"/>
      <c r="S731" s="44"/>
      <c r="T731" s="50"/>
      <c r="U731" s="44"/>
      <c r="V731" s="203">
        <f t="shared" si="281"/>
        <v>465.89940000000007</v>
      </c>
      <c r="W731" s="266">
        <f t="shared" si="282"/>
        <v>465.89940000000007</v>
      </c>
      <c r="X731" s="206">
        <f>597*106.5%</f>
        <v>635.80499999999995</v>
      </c>
    </row>
    <row r="732" spans="1:24" s="18" customFormat="1" ht="30" customHeight="1" x14ac:dyDescent="0.25">
      <c r="A732" s="128" t="s">
        <v>254</v>
      </c>
      <c r="B732" s="345" t="s">
        <v>718</v>
      </c>
      <c r="C732" s="346"/>
      <c r="D732" s="346"/>
      <c r="E732" s="346"/>
      <c r="F732" s="346"/>
      <c r="G732" s="346"/>
      <c r="H732" s="346"/>
      <c r="I732" s="346"/>
      <c r="J732" s="347"/>
      <c r="K732" s="47"/>
      <c r="L732" s="44"/>
      <c r="M732" s="47"/>
      <c r="N732" s="44"/>
      <c r="O732" s="70"/>
      <c r="P732" s="44"/>
      <c r="Q732" s="70"/>
      <c r="R732" s="44"/>
      <c r="S732" s="44"/>
      <c r="T732" s="50"/>
      <c r="U732" s="44"/>
      <c r="V732" s="15"/>
      <c r="X732" s="206"/>
    </row>
    <row r="733" spans="1:24" ht="16.7" customHeight="1" x14ac:dyDescent="0.25">
      <c r="A733" s="413" t="s">
        <v>255</v>
      </c>
      <c r="B733" s="345" t="s">
        <v>774</v>
      </c>
      <c r="C733" s="346"/>
      <c r="D733" s="346"/>
      <c r="E733" s="346"/>
      <c r="F733" s="346"/>
      <c r="G733" s="346"/>
      <c r="H733" s="346"/>
      <c r="I733" s="346"/>
      <c r="J733" s="347"/>
      <c r="K733" s="47"/>
      <c r="L733" s="44"/>
      <c r="M733" s="47"/>
      <c r="N733" s="44"/>
      <c r="O733" s="70"/>
      <c r="P733" s="44"/>
      <c r="Q733" s="70"/>
      <c r="R733" s="44"/>
      <c r="S733" s="44"/>
      <c r="T733" s="50"/>
      <c r="U733" s="44"/>
      <c r="V733" s="15"/>
      <c r="X733" s="206"/>
    </row>
    <row r="734" spans="1:24" ht="14.1" customHeight="1" x14ac:dyDescent="0.2">
      <c r="A734" s="414"/>
      <c r="B734" s="104" t="s">
        <v>519</v>
      </c>
      <c r="C734" s="47">
        <v>435.19636480320014</v>
      </c>
      <c r="D734" s="284"/>
      <c r="E734" s="47">
        <f t="shared" ref="E734:E744" si="283">C734*1.0582</f>
        <v>460.52479323474643</v>
      </c>
      <c r="F734" s="47">
        <v>794</v>
      </c>
      <c r="G734" s="44">
        <v>873</v>
      </c>
      <c r="H734" s="53">
        <f t="shared" ref="H734:H745" si="284">J734*I734</f>
        <v>1353.8151127872</v>
      </c>
      <c r="I734" s="70">
        <v>1.0620000000000001</v>
      </c>
      <c r="J734" s="44">
        <f t="shared" ref="J734:J745" si="285">K734*L734</f>
        <v>1274.7788255999999</v>
      </c>
      <c r="K734" s="70">
        <v>1.0640000000000001</v>
      </c>
      <c r="L734" s="44">
        <f t="shared" si="274"/>
        <v>1198.1003999999998</v>
      </c>
      <c r="M734" s="47">
        <v>1.07</v>
      </c>
      <c r="N734" s="44">
        <f t="shared" si="265"/>
        <v>1119.7199999999998</v>
      </c>
      <c r="O734" s="70">
        <v>1.075</v>
      </c>
      <c r="P734" s="44">
        <f t="shared" si="279"/>
        <v>1041.5999999999999</v>
      </c>
      <c r="Q734" s="70">
        <v>1.085</v>
      </c>
      <c r="R734" s="44">
        <v>960</v>
      </c>
      <c r="S734" s="44">
        <f t="shared" ref="S734:U744" si="286">G734*T734</f>
        <v>960.30000000000007</v>
      </c>
      <c r="T734" s="50">
        <v>1.1000000000000001</v>
      </c>
      <c r="U734" s="44">
        <f t="shared" si="286"/>
        <v>1538.3942652646069</v>
      </c>
      <c r="V734" s="203">
        <f t="shared" ref="V734:V745" si="287">H734*107%</f>
        <v>1448.582170682304</v>
      </c>
      <c r="W734" s="266">
        <f t="shared" ref="W734:W745" si="288">V734</f>
        <v>1448.582170682304</v>
      </c>
      <c r="X734" s="206">
        <f>1859*106.5%</f>
        <v>1979.8349999999998</v>
      </c>
    </row>
    <row r="735" spans="1:24" ht="14.1" customHeight="1" x14ac:dyDescent="0.2">
      <c r="A735" s="414"/>
      <c r="B735" s="104" t="s">
        <v>463</v>
      </c>
      <c r="C735" s="47">
        <v>435.19636480320014</v>
      </c>
      <c r="D735" s="284"/>
      <c r="E735" s="47">
        <f t="shared" si="283"/>
        <v>460.52479323474643</v>
      </c>
      <c r="F735" s="47">
        <v>794</v>
      </c>
      <c r="G735" s="44">
        <v>873</v>
      </c>
      <c r="H735" s="53">
        <f t="shared" si="284"/>
        <v>1354.2381800099461</v>
      </c>
      <c r="I735" s="70">
        <v>1.0620000000000001</v>
      </c>
      <c r="J735" s="44">
        <f t="shared" si="285"/>
        <v>1275.1771939830001</v>
      </c>
      <c r="K735" s="70">
        <v>1.0640000000000001</v>
      </c>
      <c r="L735" s="44">
        <f t="shared" si="274"/>
        <v>1198.4748063750001</v>
      </c>
      <c r="M735" s="47">
        <v>1.07</v>
      </c>
      <c r="N735" s="44">
        <f t="shared" si="265"/>
        <v>1120.0699125000001</v>
      </c>
      <c r="O735" s="70">
        <v>1.075</v>
      </c>
      <c r="P735" s="44">
        <f t="shared" si="279"/>
        <v>1041.9255000000001</v>
      </c>
      <c r="Q735" s="70">
        <v>1.085</v>
      </c>
      <c r="R735" s="44">
        <f t="shared" ref="R735:R743" si="289">S735</f>
        <v>960.30000000000007</v>
      </c>
      <c r="S735" s="44">
        <f t="shared" si="286"/>
        <v>960.30000000000007</v>
      </c>
      <c r="T735" s="50">
        <v>1.1000000000000001</v>
      </c>
      <c r="U735" s="44">
        <f t="shared" si="286"/>
        <v>1538.8750134725024</v>
      </c>
      <c r="V735" s="203">
        <f t="shared" si="287"/>
        <v>1449.0348526106425</v>
      </c>
      <c r="W735" s="266">
        <f t="shared" si="288"/>
        <v>1449.0348526106425</v>
      </c>
      <c r="X735" s="206">
        <f t="shared" ref="X735:X745" si="290">1859*106.5%</f>
        <v>1979.8349999999998</v>
      </c>
    </row>
    <row r="736" spans="1:24" ht="14.1" customHeight="1" x14ac:dyDescent="0.2">
      <c r="A736" s="414"/>
      <c r="B736" s="104" t="s">
        <v>464</v>
      </c>
      <c r="C736" s="47">
        <v>435.19636480320014</v>
      </c>
      <c r="D736" s="284"/>
      <c r="E736" s="47">
        <f t="shared" si="283"/>
        <v>460.52479323474643</v>
      </c>
      <c r="F736" s="47">
        <v>794</v>
      </c>
      <c r="G736" s="44">
        <v>873</v>
      </c>
      <c r="H736" s="53">
        <f t="shared" si="284"/>
        <v>1354.2381800099461</v>
      </c>
      <c r="I736" s="70">
        <v>1.0620000000000001</v>
      </c>
      <c r="J736" s="44">
        <f t="shared" si="285"/>
        <v>1275.1771939830001</v>
      </c>
      <c r="K736" s="70">
        <v>1.0640000000000001</v>
      </c>
      <c r="L736" s="44">
        <f t="shared" si="274"/>
        <v>1198.4748063750001</v>
      </c>
      <c r="M736" s="47">
        <v>1.07</v>
      </c>
      <c r="N736" s="44">
        <f t="shared" si="265"/>
        <v>1120.0699125000001</v>
      </c>
      <c r="O736" s="70">
        <v>1.075</v>
      </c>
      <c r="P736" s="44">
        <f t="shared" si="279"/>
        <v>1041.9255000000001</v>
      </c>
      <c r="Q736" s="70">
        <v>1.085</v>
      </c>
      <c r="R736" s="44">
        <f t="shared" si="289"/>
        <v>960.30000000000007</v>
      </c>
      <c r="S736" s="44">
        <f t="shared" si="286"/>
        <v>960.30000000000007</v>
      </c>
      <c r="T736" s="50">
        <v>1.1000000000000001</v>
      </c>
      <c r="U736" s="44">
        <f t="shared" si="286"/>
        <v>1538.8750134725024</v>
      </c>
      <c r="V736" s="203">
        <f t="shared" si="287"/>
        <v>1449.0348526106425</v>
      </c>
      <c r="W736" s="266">
        <f t="shared" si="288"/>
        <v>1449.0348526106425</v>
      </c>
      <c r="X736" s="206">
        <f t="shared" si="290"/>
        <v>1979.8349999999998</v>
      </c>
    </row>
    <row r="737" spans="1:24" ht="14.1" customHeight="1" x14ac:dyDescent="0.2">
      <c r="A737" s="414"/>
      <c r="B737" s="104" t="s">
        <v>465</v>
      </c>
      <c r="C737" s="47">
        <v>435.19636480320014</v>
      </c>
      <c r="D737" s="284"/>
      <c r="E737" s="47">
        <f t="shared" si="283"/>
        <v>460.52479323474643</v>
      </c>
      <c r="F737" s="47">
        <v>794</v>
      </c>
      <c r="G737" s="44">
        <v>873</v>
      </c>
      <c r="H737" s="53">
        <f t="shared" si="284"/>
        <v>1354.2381800099461</v>
      </c>
      <c r="I737" s="70">
        <v>1.0620000000000001</v>
      </c>
      <c r="J737" s="44">
        <f t="shared" si="285"/>
        <v>1275.1771939830001</v>
      </c>
      <c r="K737" s="70">
        <v>1.0640000000000001</v>
      </c>
      <c r="L737" s="44">
        <f t="shared" si="274"/>
        <v>1198.4748063750001</v>
      </c>
      <c r="M737" s="47">
        <v>1.07</v>
      </c>
      <c r="N737" s="44">
        <f t="shared" si="265"/>
        <v>1120.0699125000001</v>
      </c>
      <c r="O737" s="70">
        <v>1.075</v>
      </c>
      <c r="P737" s="44">
        <f t="shared" si="279"/>
        <v>1041.9255000000001</v>
      </c>
      <c r="Q737" s="70">
        <v>1.085</v>
      </c>
      <c r="R737" s="44">
        <f t="shared" si="289"/>
        <v>960.30000000000007</v>
      </c>
      <c r="S737" s="44">
        <f t="shared" si="286"/>
        <v>960.30000000000007</v>
      </c>
      <c r="T737" s="50">
        <v>1.1000000000000001</v>
      </c>
      <c r="U737" s="44">
        <f t="shared" si="286"/>
        <v>1538.8750134725024</v>
      </c>
      <c r="V737" s="203">
        <f t="shared" si="287"/>
        <v>1449.0348526106425</v>
      </c>
      <c r="W737" s="266">
        <f t="shared" si="288"/>
        <v>1449.0348526106425</v>
      </c>
      <c r="X737" s="206">
        <f t="shared" si="290"/>
        <v>1979.8349999999998</v>
      </c>
    </row>
    <row r="738" spans="1:24" ht="14.1" customHeight="1" x14ac:dyDescent="0.2">
      <c r="A738" s="414"/>
      <c r="B738" s="104" t="s">
        <v>466</v>
      </c>
      <c r="C738" s="47">
        <v>435.19636480320014</v>
      </c>
      <c r="D738" s="284"/>
      <c r="E738" s="47">
        <f t="shared" si="283"/>
        <v>460.52479323474643</v>
      </c>
      <c r="F738" s="47">
        <v>794</v>
      </c>
      <c r="G738" s="44">
        <v>873</v>
      </c>
      <c r="H738" s="53">
        <f t="shared" si="284"/>
        <v>1354.2381800099461</v>
      </c>
      <c r="I738" s="70">
        <v>1.0620000000000001</v>
      </c>
      <c r="J738" s="44">
        <f t="shared" si="285"/>
        <v>1275.1771939830001</v>
      </c>
      <c r="K738" s="70">
        <v>1.0640000000000001</v>
      </c>
      <c r="L738" s="44">
        <f t="shared" si="274"/>
        <v>1198.4748063750001</v>
      </c>
      <c r="M738" s="47">
        <v>1.07</v>
      </c>
      <c r="N738" s="44">
        <f t="shared" si="265"/>
        <v>1120.0699125000001</v>
      </c>
      <c r="O738" s="70">
        <v>1.075</v>
      </c>
      <c r="P738" s="44">
        <f t="shared" si="279"/>
        <v>1041.9255000000001</v>
      </c>
      <c r="Q738" s="70">
        <v>1.085</v>
      </c>
      <c r="R738" s="44">
        <f t="shared" si="289"/>
        <v>960.30000000000007</v>
      </c>
      <c r="S738" s="44">
        <f t="shared" si="286"/>
        <v>960.30000000000007</v>
      </c>
      <c r="T738" s="50">
        <v>1.1000000000000001</v>
      </c>
      <c r="U738" s="44">
        <f t="shared" si="286"/>
        <v>1538.8750134725024</v>
      </c>
      <c r="V738" s="203">
        <f t="shared" si="287"/>
        <v>1449.0348526106425</v>
      </c>
      <c r="W738" s="266">
        <f t="shared" si="288"/>
        <v>1449.0348526106425</v>
      </c>
      <c r="X738" s="206">
        <f t="shared" si="290"/>
        <v>1979.8349999999998</v>
      </c>
    </row>
    <row r="739" spans="1:24" ht="14.1" customHeight="1" x14ac:dyDescent="0.2">
      <c r="A739" s="414"/>
      <c r="B739" s="104" t="s">
        <v>539</v>
      </c>
      <c r="C739" s="47">
        <v>435.19636480320014</v>
      </c>
      <c r="D739" s="284"/>
      <c r="E739" s="47">
        <f t="shared" si="283"/>
        <v>460.52479323474643</v>
      </c>
      <c r="F739" s="47">
        <v>794</v>
      </c>
      <c r="G739" s="44">
        <v>873</v>
      </c>
      <c r="H739" s="53">
        <f t="shared" si="284"/>
        <v>1354.2381800099461</v>
      </c>
      <c r="I739" s="70">
        <v>1.0620000000000001</v>
      </c>
      <c r="J739" s="44">
        <f t="shared" si="285"/>
        <v>1275.1771939830001</v>
      </c>
      <c r="K739" s="70">
        <v>1.0640000000000001</v>
      </c>
      <c r="L739" s="44">
        <f t="shared" si="274"/>
        <v>1198.4748063750001</v>
      </c>
      <c r="M739" s="47">
        <v>1.07</v>
      </c>
      <c r="N739" s="44">
        <f t="shared" si="265"/>
        <v>1120.0699125000001</v>
      </c>
      <c r="O739" s="70">
        <v>1.075</v>
      </c>
      <c r="P739" s="44">
        <f t="shared" si="279"/>
        <v>1041.9255000000001</v>
      </c>
      <c r="Q739" s="70">
        <v>1.085</v>
      </c>
      <c r="R739" s="44">
        <f t="shared" si="289"/>
        <v>960.30000000000007</v>
      </c>
      <c r="S739" s="44">
        <f t="shared" si="286"/>
        <v>960.30000000000007</v>
      </c>
      <c r="T739" s="50">
        <v>1.1000000000000001</v>
      </c>
      <c r="U739" s="44">
        <f t="shared" si="286"/>
        <v>1538.8750134725024</v>
      </c>
      <c r="V739" s="203">
        <f t="shared" si="287"/>
        <v>1449.0348526106425</v>
      </c>
      <c r="W739" s="266">
        <f t="shared" si="288"/>
        <v>1449.0348526106425</v>
      </c>
      <c r="X739" s="206">
        <f t="shared" si="290"/>
        <v>1979.8349999999998</v>
      </c>
    </row>
    <row r="740" spans="1:24" ht="14.1" customHeight="1" x14ac:dyDescent="0.2">
      <c r="A740" s="414"/>
      <c r="B740" s="104" t="s">
        <v>467</v>
      </c>
      <c r="C740" s="47">
        <v>435.19636480320014</v>
      </c>
      <c r="D740" s="284"/>
      <c r="E740" s="47">
        <f t="shared" si="283"/>
        <v>460.52479323474643</v>
      </c>
      <c r="F740" s="47">
        <v>794</v>
      </c>
      <c r="G740" s="44">
        <v>873</v>
      </c>
      <c r="H740" s="53">
        <f t="shared" si="284"/>
        <v>1354.2381800099461</v>
      </c>
      <c r="I740" s="70">
        <v>1.0620000000000001</v>
      </c>
      <c r="J740" s="44">
        <f t="shared" si="285"/>
        <v>1275.1771939830001</v>
      </c>
      <c r="K740" s="70">
        <v>1.0640000000000001</v>
      </c>
      <c r="L740" s="44">
        <f t="shared" si="274"/>
        <v>1198.4748063750001</v>
      </c>
      <c r="M740" s="47">
        <v>1.07</v>
      </c>
      <c r="N740" s="44">
        <f t="shared" si="265"/>
        <v>1120.0699125000001</v>
      </c>
      <c r="O740" s="70">
        <v>1.075</v>
      </c>
      <c r="P740" s="44">
        <f t="shared" si="279"/>
        <v>1041.9255000000001</v>
      </c>
      <c r="Q740" s="70">
        <v>1.085</v>
      </c>
      <c r="R740" s="44">
        <f t="shared" si="289"/>
        <v>960.30000000000007</v>
      </c>
      <c r="S740" s="44">
        <f t="shared" si="286"/>
        <v>960.30000000000007</v>
      </c>
      <c r="T740" s="50">
        <v>1.1000000000000001</v>
      </c>
      <c r="U740" s="44">
        <f t="shared" si="286"/>
        <v>1538.8750134725024</v>
      </c>
      <c r="V740" s="203">
        <f t="shared" si="287"/>
        <v>1449.0348526106425</v>
      </c>
      <c r="W740" s="266">
        <f t="shared" si="288"/>
        <v>1449.0348526106425</v>
      </c>
      <c r="X740" s="206">
        <f t="shared" si="290"/>
        <v>1979.8349999999998</v>
      </c>
    </row>
    <row r="741" spans="1:24" ht="14.1" customHeight="1" x14ac:dyDescent="0.2">
      <c r="A741" s="414"/>
      <c r="B741" s="104" t="s">
        <v>522</v>
      </c>
      <c r="C741" s="47">
        <v>435.19636480320014</v>
      </c>
      <c r="D741" s="284"/>
      <c r="E741" s="47">
        <f t="shared" si="283"/>
        <v>460.52479323474643</v>
      </c>
      <c r="F741" s="47">
        <v>794</v>
      </c>
      <c r="G741" s="44">
        <v>873</v>
      </c>
      <c r="H741" s="53">
        <f t="shared" si="284"/>
        <v>1354.2381800099461</v>
      </c>
      <c r="I741" s="70">
        <v>1.0620000000000001</v>
      </c>
      <c r="J741" s="44">
        <f t="shared" si="285"/>
        <v>1275.1771939830001</v>
      </c>
      <c r="K741" s="70">
        <v>1.0640000000000001</v>
      </c>
      <c r="L741" s="44">
        <f t="shared" si="274"/>
        <v>1198.4748063750001</v>
      </c>
      <c r="M741" s="47">
        <v>1.07</v>
      </c>
      <c r="N741" s="44">
        <f t="shared" si="265"/>
        <v>1120.0699125000001</v>
      </c>
      <c r="O741" s="70">
        <v>1.075</v>
      </c>
      <c r="P741" s="44">
        <f t="shared" si="279"/>
        <v>1041.9255000000001</v>
      </c>
      <c r="Q741" s="70">
        <v>1.085</v>
      </c>
      <c r="R741" s="44">
        <f t="shared" si="289"/>
        <v>960.30000000000007</v>
      </c>
      <c r="S741" s="44">
        <f t="shared" si="286"/>
        <v>960.30000000000007</v>
      </c>
      <c r="T741" s="50">
        <v>1.1000000000000001</v>
      </c>
      <c r="U741" s="44">
        <f t="shared" si="286"/>
        <v>1538.8750134725024</v>
      </c>
      <c r="V741" s="203">
        <f t="shared" si="287"/>
        <v>1449.0348526106425</v>
      </c>
      <c r="W741" s="266">
        <f t="shared" si="288"/>
        <v>1449.0348526106425</v>
      </c>
      <c r="X741" s="206">
        <f t="shared" si="290"/>
        <v>1979.8349999999998</v>
      </c>
    </row>
    <row r="742" spans="1:24" ht="14.1" customHeight="1" x14ac:dyDescent="0.2">
      <c r="A742" s="414"/>
      <c r="B742" s="104" t="s">
        <v>468</v>
      </c>
      <c r="C742" s="47">
        <v>435.19636480320014</v>
      </c>
      <c r="D742" s="284"/>
      <c r="E742" s="47">
        <f t="shared" si="283"/>
        <v>460.52479323474643</v>
      </c>
      <c r="F742" s="47">
        <v>794</v>
      </c>
      <c r="G742" s="44">
        <v>873</v>
      </c>
      <c r="H742" s="53">
        <f t="shared" si="284"/>
        <v>1354.2381800099461</v>
      </c>
      <c r="I742" s="70">
        <v>1.0620000000000001</v>
      </c>
      <c r="J742" s="44">
        <f t="shared" si="285"/>
        <v>1275.1771939830001</v>
      </c>
      <c r="K742" s="70">
        <v>1.0640000000000001</v>
      </c>
      <c r="L742" s="44">
        <f t="shared" si="274"/>
        <v>1198.4748063750001</v>
      </c>
      <c r="M742" s="47">
        <v>1.07</v>
      </c>
      <c r="N742" s="44">
        <f t="shared" si="265"/>
        <v>1120.0699125000001</v>
      </c>
      <c r="O742" s="70">
        <v>1.075</v>
      </c>
      <c r="P742" s="44">
        <f t="shared" si="279"/>
        <v>1041.9255000000001</v>
      </c>
      <c r="Q742" s="70">
        <v>1.085</v>
      </c>
      <c r="R742" s="44">
        <f t="shared" si="289"/>
        <v>960.30000000000007</v>
      </c>
      <c r="S742" s="44">
        <f t="shared" si="286"/>
        <v>960.30000000000007</v>
      </c>
      <c r="T742" s="50">
        <v>1.1000000000000001</v>
      </c>
      <c r="U742" s="44">
        <f t="shared" si="286"/>
        <v>1538.8750134725024</v>
      </c>
      <c r="V742" s="203">
        <f t="shared" si="287"/>
        <v>1449.0348526106425</v>
      </c>
      <c r="W742" s="266">
        <f t="shared" si="288"/>
        <v>1449.0348526106425</v>
      </c>
      <c r="X742" s="206">
        <f t="shared" si="290"/>
        <v>1979.8349999999998</v>
      </c>
    </row>
    <row r="743" spans="1:24" ht="14.1" customHeight="1" x14ac:dyDescent="0.2">
      <c r="A743" s="414"/>
      <c r="B743" s="104" t="s">
        <v>523</v>
      </c>
      <c r="C743" s="47">
        <v>435.19636480320014</v>
      </c>
      <c r="D743" s="284"/>
      <c r="E743" s="47">
        <f t="shared" si="283"/>
        <v>460.52479323474643</v>
      </c>
      <c r="F743" s="47">
        <v>794</v>
      </c>
      <c r="G743" s="44">
        <v>873</v>
      </c>
      <c r="H743" s="53">
        <f t="shared" si="284"/>
        <v>1354.2381800099461</v>
      </c>
      <c r="I743" s="70">
        <v>1.0620000000000001</v>
      </c>
      <c r="J743" s="44">
        <f t="shared" si="285"/>
        <v>1275.1771939830001</v>
      </c>
      <c r="K743" s="70">
        <v>1.0640000000000001</v>
      </c>
      <c r="L743" s="44">
        <f t="shared" si="274"/>
        <v>1198.4748063750001</v>
      </c>
      <c r="M743" s="47">
        <v>1.07</v>
      </c>
      <c r="N743" s="44">
        <f t="shared" si="265"/>
        <v>1120.0699125000001</v>
      </c>
      <c r="O743" s="70">
        <v>1.075</v>
      </c>
      <c r="P743" s="44">
        <f t="shared" si="279"/>
        <v>1041.9255000000001</v>
      </c>
      <c r="Q743" s="70">
        <v>1.085</v>
      </c>
      <c r="R743" s="44">
        <f t="shared" si="289"/>
        <v>960.30000000000007</v>
      </c>
      <c r="S743" s="44">
        <f t="shared" si="286"/>
        <v>960.30000000000007</v>
      </c>
      <c r="T743" s="50">
        <v>1.1000000000000001</v>
      </c>
      <c r="U743" s="44">
        <f t="shared" si="286"/>
        <v>1538.8750134725024</v>
      </c>
      <c r="V743" s="203">
        <f t="shared" si="287"/>
        <v>1449.0348526106425</v>
      </c>
      <c r="W743" s="266">
        <f t="shared" si="288"/>
        <v>1449.0348526106425</v>
      </c>
      <c r="X743" s="206">
        <f t="shared" si="290"/>
        <v>1979.8349999999998</v>
      </c>
    </row>
    <row r="744" spans="1:24" ht="14.1" customHeight="1" x14ac:dyDescent="0.2">
      <c r="A744" s="414"/>
      <c r="B744" s="104" t="s">
        <v>775</v>
      </c>
      <c r="C744" s="47">
        <v>217.59818240160007</v>
      </c>
      <c r="D744" s="284"/>
      <c r="E744" s="47">
        <f t="shared" si="283"/>
        <v>230.26239661737321</v>
      </c>
      <c r="F744" s="47">
        <v>578</v>
      </c>
      <c r="G744" s="44">
        <v>636</v>
      </c>
      <c r="H744" s="53">
        <f t="shared" si="284"/>
        <v>987.15685307400008</v>
      </c>
      <c r="I744" s="70">
        <v>1.0620000000000001</v>
      </c>
      <c r="J744" s="44">
        <f t="shared" si="285"/>
        <v>929.52622700000006</v>
      </c>
      <c r="K744" s="70">
        <v>1.0640000000000001</v>
      </c>
      <c r="L744" s="44">
        <f t="shared" si="274"/>
        <v>873.61487499999998</v>
      </c>
      <c r="M744" s="47">
        <v>1.07</v>
      </c>
      <c r="N744" s="44">
        <f t="shared" si="265"/>
        <v>816.46249999999998</v>
      </c>
      <c r="O744" s="70">
        <v>1.075</v>
      </c>
      <c r="P744" s="44">
        <f t="shared" si="279"/>
        <v>759.5</v>
      </c>
      <c r="Q744" s="70">
        <v>1.085</v>
      </c>
      <c r="R744" s="44">
        <v>700</v>
      </c>
      <c r="S744" s="44">
        <f t="shared" si="286"/>
        <v>699.6</v>
      </c>
      <c r="T744" s="50">
        <v>1.1000000000000001</v>
      </c>
      <c r="U744" s="44">
        <f t="shared" si="286"/>
        <v>1121.7458184221093</v>
      </c>
      <c r="V744" s="203">
        <f t="shared" si="287"/>
        <v>1056.2578327891802</v>
      </c>
      <c r="W744" s="266">
        <f t="shared" si="288"/>
        <v>1056.2578327891802</v>
      </c>
      <c r="X744" s="206">
        <f t="shared" si="290"/>
        <v>1979.8349999999998</v>
      </c>
    </row>
    <row r="745" spans="1:24" ht="14.1" customHeight="1" x14ac:dyDescent="0.2">
      <c r="A745" s="414"/>
      <c r="B745" s="104" t="s">
        <v>469</v>
      </c>
      <c r="C745" s="47"/>
      <c r="D745" s="284"/>
      <c r="E745" s="47"/>
      <c r="F745" s="47"/>
      <c r="G745" s="44"/>
      <c r="H745" s="53">
        <f t="shared" si="284"/>
        <v>1354.1536512000002</v>
      </c>
      <c r="I745" s="70">
        <v>1.0620000000000001</v>
      </c>
      <c r="J745" s="44">
        <f t="shared" si="285"/>
        <v>1275.0976000000001</v>
      </c>
      <c r="K745" s="70">
        <v>1.0640000000000001</v>
      </c>
      <c r="L745" s="44">
        <f t="shared" si="274"/>
        <v>1198.4000000000001</v>
      </c>
      <c r="M745" s="47">
        <v>1.07</v>
      </c>
      <c r="N745" s="44">
        <v>1120</v>
      </c>
      <c r="O745" s="70"/>
      <c r="P745" s="44"/>
      <c r="Q745" s="70"/>
      <c r="R745" s="44"/>
      <c r="S745" s="44"/>
      <c r="T745" s="50"/>
      <c r="U745" s="44"/>
      <c r="V745" s="203">
        <f t="shared" si="287"/>
        <v>1448.9444067840004</v>
      </c>
      <c r="W745" s="266">
        <f t="shared" si="288"/>
        <v>1448.9444067840004</v>
      </c>
      <c r="X745" s="206">
        <f t="shared" si="290"/>
        <v>1979.8349999999998</v>
      </c>
    </row>
    <row r="746" spans="1:24" ht="14.1" customHeight="1" x14ac:dyDescent="0.25">
      <c r="A746" s="137"/>
      <c r="B746" s="345" t="s">
        <v>776</v>
      </c>
      <c r="C746" s="346"/>
      <c r="D746" s="346"/>
      <c r="E746" s="346"/>
      <c r="F746" s="346"/>
      <c r="G746" s="346"/>
      <c r="H746" s="346"/>
      <c r="I746" s="346"/>
      <c r="J746" s="347"/>
      <c r="K746" s="70"/>
      <c r="L746" s="44"/>
      <c r="M746" s="47"/>
      <c r="N746" s="44"/>
      <c r="O746" s="70"/>
      <c r="P746" s="44"/>
      <c r="Q746" s="70"/>
      <c r="R746" s="44"/>
      <c r="S746" s="44"/>
      <c r="T746" s="50"/>
      <c r="U746" s="44"/>
      <c r="V746" s="15"/>
      <c r="X746" s="206"/>
    </row>
    <row r="747" spans="1:24" ht="14.1" customHeight="1" x14ac:dyDescent="0.2">
      <c r="A747" s="137"/>
      <c r="B747" s="128" t="s">
        <v>777</v>
      </c>
      <c r="C747" s="138"/>
      <c r="D747" s="138"/>
      <c r="E747" s="138"/>
      <c r="F747" s="138"/>
      <c r="G747" s="138"/>
      <c r="H747" s="53">
        <f t="shared" ref="H747:H756" si="291">J747*I747</f>
        <v>373.82400000000001</v>
      </c>
      <c r="I747" s="70">
        <v>1.0620000000000001</v>
      </c>
      <c r="J747" s="141" t="s">
        <v>778</v>
      </c>
      <c r="K747" s="70"/>
      <c r="L747" s="44"/>
      <c r="M747" s="47"/>
      <c r="N747" s="44"/>
      <c r="O747" s="70"/>
      <c r="P747" s="44"/>
      <c r="Q747" s="70"/>
      <c r="R747" s="44"/>
      <c r="S747" s="44"/>
      <c r="T747" s="50"/>
      <c r="U747" s="44"/>
      <c r="V747" s="203">
        <f t="shared" ref="V747:V756" si="292">H747*107%</f>
        <v>399.99168000000003</v>
      </c>
      <c r="W747" s="266">
        <f t="shared" ref="W747:W756" si="293">V747</f>
        <v>399.99168000000003</v>
      </c>
      <c r="X747" s="206">
        <f>512*106.5%</f>
        <v>545.28</v>
      </c>
    </row>
    <row r="748" spans="1:24" ht="15.75" customHeight="1" x14ac:dyDescent="0.2">
      <c r="A748" s="137"/>
      <c r="B748" s="128" t="s">
        <v>779</v>
      </c>
      <c r="C748" s="139"/>
      <c r="D748" s="139"/>
      <c r="E748" s="139"/>
      <c r="F748" s="139"/>
      <c r="G748" s="139"/>
      <c r="H748" s="53">
        <f t="shared" si="291"/>
        <v>252.756</v>
      </c>
      <c r="I748" s="70">
        <v>1.0620000000000001</v>
      </c>
      <c r="J748" s="141" t="s">
        <v>788</v>
      </c>
      <c r="K748" s="70"/>
      <c r="L748" s="44"/>
      <c r="M748" s="47"/>
      <c r="N748" s="44"/>
      <c r="O748" s="70"/>
      <c r="P748" s="44"/>
      <c r="Q748" s="70"/>
      <c r="R748" s="44"/>
      <c r="S748" s="44"/>
      <c r="T748" s="50"/>
      <c r="U748" s="44"/>
      <c r="V748" s="203">
        <f t="shared" si="292"/>
        <v>270.44892000000004</v>
      </c>
      <c r="W748" s="266">
        <f t="shared" si="293"/>
        <v>270.44892000000004</v>
      </c>
      <c r="X748" s="206">
        <f>347*106.5%</f>
        <v>369.55500000000001</v>
      </c>
    </row>
    <row r="749" spans="1:24" ht="17.25" customHeight="1" x14ac:dyDescent="0.2">
      <c r="A749" s="137"/>
      <c r="B749" s="128" t="s">
        <v>780</v>
      </c>
      <c r="C749" s="139"/>
      <c r="D749" s="139"/>
      <c r="E749" s="139"/>
      <c r="F749" s="139"/>
      <c r="G749" s="139"/>
      <c r="H749" s="53">
        <f t="shared" si="291"/>
        <v>676.49400000000003</v>
      </c>
      <c r="I749" s="70">
        <v>1.0620000000000001</v>
      </c>
      <c r="J749" s="141" t="s">
        <v>789</v>
      </c>
      <c r="K749" s="70"/>
      <c r="L749" s="44"/>
      <c r="M749" s="47"/>
      <c r="N749" s="44"/>
      <c r="O749" s="70"/>
      <c r="P749" s="44"/>
      <c r="Q749" s="70"/>
      <c r="R749" s="44"/>
      <c r="S749" s="44"/>
      <c r="T749" s="50"/>
      <c r="U749" s="44"/>
      <c r="V749" s="203">
        <f t="shared" si="292"/>
        <v>723.84858000000008</v>
      </c>
      <c r="W749" s="266">
        <f t="shared" si="293"/>
        <v>723.84858000000008</v>
      </c>
      <c r="X749" s="206">
        <f>928*106.5%</f>
        <v>988.31999999999994</v>
      </c>
    </row>
    <row r="750" spans="1:24" ht="15" customHeight="1" x14ac:dyDescent="0.2">
      <c r="A750" s="137"/>
      <c r="B750" s="128" t="s">
        <v>781</v>
      </c>
      <c r="C750" s="139"/>
      <c r="D750" s="139"/>
      <c r="E750" s="139"/>
      <c r="F750" s="139"/>
      <c r="G750" s="139"/>
      <c r="H750" s="53">
        <f t="shared" si="291"/>
        <v>561.798</v>
      </c>
      <c r="I750" s="70">
        <v>1.0620000000000001</v>
      </c>
      <c r="J750" s="141" t="s">
        <v>790</v>
      </c>
      <c r="K750" s="70"/>
      <c r="L750" s="44"/>
      <c r="M750" s="47"/>
      <c r="N750" s="44"/>
      <c r="O750" s="70"/>
      <c r="P750" s="44"/>
      <c r="Q750" s="70"/>
      <c r="R750" s="44"/>
      <c r="S750" s="44"/>
      <c r="T750" s="50"/>
      <c r="U750" s="44"/>
      <c r="V750" s="203">
        <f t="shared" si="292"/>
        <v>601.12386000000004</v>
      </c>
      <c r="W750" s="266">
        <f t="shared" si="293"/>
        <v>601.12386000000004</v>
      </c>
      <c r="X750" s="206">
        <f>771*106.5%</f>
        <v>821.11500000000001</v>
      </c>
    </row>
    <row r="751" spans="1:24" ht="17.25" customHeight="1" x14ac:dyDescent="0.2">
      <c r="A751" s="137"/>
      <c r="B751" s="128" t="s">
        <v>782</v>
      </c>
      <c r="C751" s="140"/>
      <c r="D751" s="140"/>
      <c r="E751" s="140"/>
      <c r="F751" s="140"/>
      <c r="G751" s="140"/>
      <c r="H751" s="53">
        <f t="shared" si="291"/>
        <v>773.13600000000008</v>
      </c>
      <c r="I751" s="70">
        <v>1.0620000000000001</v>
      </c>
      <c r="J751" s="141" t="s">
        <v>791</v>
      </c>
      <c r="K751" s="70"/>
      <c r="L751" s="44"/>
      <c r="M751" s="47"/>
      <c r="N751" s="44"/>
      <c r="O751" s="70"/>
      <c r="P751" s="44"/>
      <c r="Q751" s="70"/>
      <c r="R751" s="44"/>
      <c r="S751" s="44"/>
      <c r="T751" s="50"/>
      <c r="U751" s="44"/>
      <c r="V751" s="203">
        <f t="shared" si="292"/>
        <v>827.25552000000016</v>
      </c>
      <c r="W751" s="266">
        <f t="shared" si="293"/>
        <v>827.25552000000016</v>
      </c>
      <c r="X751" s="206">
        <f>1061*106.5%</f>
        <v>1129.9649999999999</v>
      </c>
    </row>
    <row r="752" spans="1:24" ht="14.1" customHeight="1" x14ac:dyDescent="0.2">
      <c r="A752" s="137"/>
      <c r="B752" s="281" t="s">
        <v>783</v>
      </c>
      <c r="C752" s="282"/>
      <c r="D752" s="282"/>
      <c r="E752" s="282"/>
      <c r="F752" s="282"/>
      <c r="G752" s="282"/>
      <c r="H752" s="53">
        <f t="shared" si="291"/>
        <v>351.52199999999999</v>
      </c>
      <c r="I752" s="70">
        <v>1.0620000000000001</v>
      </c>
      <c r="J752" s="142" t="s">
        <v>792</v>
      </c>
      <c r="K752" s="70"/>
      <c r="L752" s="44"/>
      <c r="M752" s="47"/>
      <c r="N752" s="44"/>
      <c r="O752" s="70"/>
      <c r="P752" s="44"/>
      <c r="Q752" s="70"/>
      <c r="R752" s="44"/>
      <c r="S752" s="44"/>
      <c r="T752" s="50"/>
      <c r="U752" s="44"/>
      <c r="V752" s="203">
        <f t="shared" si="292"/>
        <v>376.12853999999999</v>
      </c>
      <c r="W752" s="266">
        <f t="shared" si="293"/>
        <v>376.12853999999999</v>
      </c>
      <c r="X752" s="206">
        <f>482*106.5%</f>
        <v>513.32999999999993</v>
      </c>
    </row>
    <row r="753" spans="1:24" ht="14.1" customHeight="1" x14ac:dyDescent="0.2">
      <c r="A753" s="137"/>
      <c r="B753" s="281" t="s">
        <v>784</v>
      </c>
      <c r="C753" s="282"/>
      <c r="D753" s="282"/>
      <c r="E753" s="282"/>
      <c r="F753" s="282"/>
      <c r="G753" s="282"/>
      <c r="H753" s="53">
        <f t="shared" si="291"/>
        <v>1264.8420000000001</v>
      </c>
      <c r="I753" s="70">
        <v>1.0620000000000001</v>
      </c>
      <c r="J753" s="142" t="s">
        <v>793</v>
      </c>
      <c r="K753" s="70"/>
      <c r="L753" s="44"/>
      <c r="M753" s="47"/>
      <c r="N753" s="44"/>
      <c r="O753" s="70"/>
      <c r="P753" s="44"/>
      <c r="Q753" s="70"/>
      <c r="R753" s="44"/>
      <c r="S753" s="44"/>
      <c r="T753" s="50"/>
      <c r="U753" s="44"/>
      <c r="V753" s="203">
        <f t="shared" si="292"/>
        <v>1353.3809400000002</v>
      </c>
      <c r="W753" s="266">
        <f t="shared" si="293"/>
        <v>1353.3809400000002</v>
      </c>
      <c r="X753" s="206">
        <f>1734*106.5%</f>
        <v>1846.7099999999998</v>
      </c>
    </row>
    <row r="754" spans="1:24" ht="14.1" customHeight="1" x14ac:dyDescent="0.2">
      <c r="A754" s="137"/>
      <c r="B754" s="281" t="s">
        <v>785</v>
      </c>
      <c r="C754" s="282"/>
      <c r="D754" s="282"/>
      <c r="E754" s="282"/>
      <c r="F754" s="282"/>
      <c r="G754" s="282"/>
      <c r="H754" s="53">
        <f t="shared" si="291"/>
        <v>602.154</v>
      </c>
      <c r="I754" s="70">
        <v>1.0620000000000001</v>
      </c>
      <c r="J754" s="142" t="s">
        <v>794</v>
      </c>
      <c r="K754" s="70"/>
      <c r="L754" s="44"/>
      <c r="M754" s="47"/>
      <c r="N754" s="44"/>
      <c r="O754" s="70"/>
      <c r="P754" s="44"/>
      <c r="Q754" s="70"/>
      <c r="R754" s="44"/>
      <c r="S754" s="44"/>
      <c r="T754" s="50"/>
      <c r="U754" s="44"/>
      <c r="V754" s="203">
        <f t="shared" si="292"/>
        <v>644.30478000000005</v>
      </c>
      <c r="W754" s="266">
        <f t="shared" si="293"/>
        <v>644.30478000000005</v>
      </c>
      <c r="X754" s="206">
        <f>826*106.5%</f>
        <v>879.68999999999994</v>
      </c>
    </row>
    <row r="755" spans="1:24" ht="14.1" customHeight="1" x14ac:dyDescent="0.2">
      <c r="A755" s="137"/>
      <c r="B755" s="281" t="s">
        <v>786</v>
      </c>
      <c r="C755" s="282"/>
      <c r="D755" s="282"/>
      <c r="E755" s="282"/>
      <c r="F755" s="282"/>
      <c r="G755" s="282"/>
      <c r="H755" s="53">
        <f t="shared" si="291"/>
        <v>958.9860000000001</v>
      </c>
      <c r="I755" s="70">
        <v>1.0620000000000001</v>
      </c>
      <c r="J755" s="142" t="s">
        <v>795</v>
      </c>
      <c r="K755" s="70"/>
      <c r="L755" s="44"/>
      <c r="M755" s="47"/>
      <c r="N755" s="44"/>
      <c r="O755" s="70"/>
      <c r="P755" s="44"/>
      <c r="Q755" s="70"/>
      <c r="R755" s="44"/>
      <c r="S755" s="44"/>
      <c r="T755" s="50"/>
      <c r="U755" s="44"/>
      <c r="V755" s="203">
        <f t="shared" si="292"/>
        <v>1026.1150200000002</v>
      </c>
      <c r="W755" s="266">
        <f t="shared" si="293"/>
        <v>1026.1150200000002</v>
      </c>
      <c r="X755" s="206">
        <f>1316*106.5%</f>
        <v>1401.54</v>
      </c>
    </row>
    <row r="756" spans="1:24" ht="14.1" customHeight="1" x14ac:dyDescent="0.2">
      <c r="A756" s="137"/>
      <c r="B756" s="281" t="s">
        <v>787</v>
      </c>
      <c r="C756" s="282"/>
      <c r="D756" s="282"/>
      <c r="E756" s="282"/>
      <c r="F756" s="282"/>
      <c r="G756" s="282"/>
      <c r="H756" s="53">
        <f t="shared" si="291"/>
        <v>936.68400000000008</v>
      </c>
      <c r="I756" s="70">
        <v>1.0620000000000001</v>
      </c>
      <c r="J756" s="142" t="s">
        <v>796</v>
      </c>
      <c r="K756" s="70"/>
      <c r="L756" s="44"/>
      <c r="M756" s="47"/>
      <c r="N756" s="44"/>
      <c r="O756" s="70"/>
      <c r="P756" s="44"/>
      <c r="Q756" s="70"/>
      <c r="R756" s="44"/>
      <c r="S756" s="44"/>
      <c r="T756" s="50"/>
      <c r="U756" s="44"/>
      <c r="V756" s="203">
        <f t="shared" si="292"/>
        <v>1002.2518800000001</v>
      </c>
      <c r="W756" s="266">
        <f t="shared" si="293"/>
        <v>1002.2518800000001</v>
      </c>
      <c r="X756" s="206">
        <f>1285*106.5%</f>
        <v>1368.5249999999999</v>
      </c>
    </row>
    <row r="757" spans="1:24" s="18" customFormat="1" ht="30" customHeight="1" x14ac:dyDescent="0.25">
      <c r="A757" s="128" t="s">
        <v>256</v>
      </c>
      <c r="B757" s="345" t="s">
        <v>719</v>
      </c>
      <c r="C757" s="346"/>
      <c r="D757" s="346"/>
      <c r="E757" s="346"/>
      <c r="F757" s="346"/>
      <c r="G757" s="346"/>
      <c r="H757" s="346"/>
      <c r="I757" s="346"/>
      <c r="J757" s="347"/>
      <c r="K757" s="47"/>
      <c r="L757" s="44"/>
      <c r="M757" s="47"/>
      <c r="N757" s="44"/>
      <c r="O757" s="70"/>
      <c r="P757" s="44"/>
      <c r="Q757" s="70"/>
      <c r="R757" s="44"/>
      <c r="S757" s="44"/>
      <c r="T757" s="50"/>
      <c r="U757" s="44"/>
      <c r="V757" s="15"/>
      <c r="X757" s="206"/>
    </row>
    <row r="758" spans="1:24" ht="14.25" customHeight="1" x14ac:dyDescent="0.2">
      <c r="A758" s="128" t="s">
        <v>257</v>
      </c>
      <c r="B758" s="33" t="s">
        <v>362</v>
      </c>
      <c r="C758" s="47">
        <v>3621.9473889580813</v>
      </c>
      <c r="D758" s="284"/>
      <c r="E758" s="47">
        <f>C758*1.0582</f>
        <v>3832.7447269954419</v>
      </c>
      <c r="F758" s="47">
        <v>6605</v>
      </c>
      <c r="G758" s="44">
        <v>7266</v>
      </c>
      <c r="H758" s="53">
        <f>J758*I758</f>
        <v>11271.921038029262</v>
      </c>
      <c r="I758" s="70">
        <v>1.0620000000000001</v>
      </c>
      <c r="J758" s="44">
        <f>K758*L758</f>
        <v>10613.861617730001</v>
      </c>
      <c r="K758" s="70">
        <v>1.0640000000000001</v>
      </c>
      <c r="L758" s="44">
        <f t="shared" si="274"/>
        <v>9975.4338512499999</v>
      </c>
      <c r="M758" s="47">
        <v>1.07</v>
      </c>
      <c r="N758" s="44">
        <f t="shared" si="265"/>
        <v>9322.8353749999987</v>
      </c>
      <c r="O758" s="70">
        <v>1.075</v>
      </c>
      <c r="P758" s="44">
        <f t="shared" si="279"/>
        <v>8672.4049999999988</v>
      </c>
      <c r="Q758" s="70">
        <v>1.085</v>
      </c>
      <c r="R758" s="44">
        <v>7993</v>
      </c>
      <c r="S758" s="44">
        <f t="shared" ref="S758:U763" si="294">G758*T758</f>
        <v>7992.6</v>
      </c>
      <c r="T758" s="50">
        <v>1.1000000000000001</v>
      </c>
      <c r="U758" s="44">
        <f t="shared" si="294"/>
        <v>12808.734752354174</v>
      </c>
      <c r="V758" s="203">
        <f t="shared" ref="V758:V766" si="295">H758*107%</f>
        <v>12060.955510691312</v>
      </c>
      <c r="W758" s="266">
        <f t="shared" ref="W758:W766" si="296">V758</f>
        <v>12060.955510691312</v>
      </c>
      <c r="X758" s="206">
        <f>15467*106.5%</f>
        <v>16472.355</v>
      </c>
    </row>
    <row r="759" spans="1:24" x14ac:dyDescent="0.2">
      <c r="A759" s="128" t="s">
        <v>261</v>
      </c>
      <c r="B759" s="33" t="s">
        <v>620</v>
      </c>
      <c r="C759" s="47">
        <v>502.16092329312005</v>
      </c>
      <c r="D759" s="284"/>
      <c r="E759" s="47">
        <f>C759*1.0582</f>
        <v>531.38668902877964</v>
      </c>
      <c r="F759" s="47">
        <v>916</v>
      </c>
      <c r="G759" s="44">
        <v>1008</v>
      </c>
      <c r="H759" s="53">
        <f>J759*I759</f>
        <v>1563.9385000843799</v>
      </c>
      <c r="I759" s="70">
        <v>1.0620000000000001</v>
      </c>
      <c r="J759" s="44">
        <f>K759*L759</f>
        <v>1472.63512249</v>
      </c>
      <c r="K759" s="70">
        <v>1.0640000000000001</v>
      </c>
      <c r="L759" s="44">
        <f t="shared" si="274"/>
        <v>1384.0555662499999</v>
      </c>
      <c r="M759" s="47">
        <v>1.07</v>
      </c>
      <c r="N759" s="44">
        <f t="shared" si="265"/>
        <v>1293.5098749999997</v>
      </c>
      <c r="O759" s="70">
        <v>1.075</v>
      </c>
      <c r="P759" s="44">
        <f t="shared" si="279"/>
        <v>1203.2649999999999</v>
      </c>
      <c r="Q759" s="70">
        <v>1.085</v>
      </c>
      <c r="R759" s="44">
        <v>1109</v>
      </c>
      <c r="S759" s="44">
        <f t="shared" si="294"/>
        <v>1108.8000000000002</v>
      </c>
      <c r="T759" s="50">
        <v>1.1000000000000001</v>
      </c>
      <c r="U759" s="44">
        <f t="shared" si="294"/>
        <v>1777.1658751858847</v>
      </c>
      <c r="V759" s="203">
        <f t="shared" si="295"/>
        <v>1673.4141950902867</v>
      </c>
      <c r="W759" s="266">
        <f t="shared" si="296"/>
        <v>1673.4141950902867</v>
      </c>
      <c r="X759" s="206">
        <f>2146*106.5%</f>
        <v>2285.4899999999998</v>
      </c>
    </row>
    <row r="760" spans="1:24" ht="31.5" customHeight="1" x14ac:dyDescent="0.25">
      <c r="A760" s="128" t="s">
        <v>262</v>
      </c>
      <c r="B760" s="345" t="s">
        <v>115</v>
      </c>
      <c r="C760" s="346"/>
      <c r="D760" s="346"/>
      <c r="E760" s="346"/>
      <c r="F760" s="346"/>
      <c r="G760" s="346"/>
      <c r="H760" s="346"/>
      <c r="I760" s="346"/>
      <c r="J760" s="347"/>
      <c r="K760" s="70"/>
      <c r="L760" s="44"/>
      <c r="M760" s="47">
        <v>1.07</v>
      </c>
      <c r="N760" s="44">
        <f t="shared" si="265"/>
        <v>449.05437499999994</v>
      </c>
      <c r="O760" s="70">
        <v>1.075</v>
      </c>
      <c r="P760" s="44">
        <f t="shared" si="279"/>
        <v>417.72499999999997</v>
      </c>
      <c r="Q760" s="70">
        <v>1.085</v>
      </c>
      <c r="R760" s="44">
        <v>385</v>
      </c>
      <c r="S760" s="44">
        <f t="shared" si="294"/>
        <v>0</v>
      </c>
      <c r="T760" s="50">
        <v>1.1000000000000001</v>
      </c>
      <c r="U760" s="44">
        <f t="shared" si="294"/>
        <v>0</v>
      </c>
      <c r="V760" s="15"/>
      <c r="X760" s="206"/>
    </row>
    <row r="761" spans="1:24" x14ac:dyDescent="0.2">
      <c r="A761" s="128" t="s">
        <v>263</v>
      </c>
      <c r="B761" s="127" t="s">
        <v>116</v>
      </c>
      <c r="C761" s="33" t="s">
        <v>117</v>
      </c>
      <c r="D761" s="46" t="e">
        <f>#REF!*1.55</f>
        <v>#REF!</v>
      </c>
      <c r="E761" s="47" t="e">
        <f>ROUND(D761,0)</f>
        <v>#REF!</v>
      </c>
      <c r="F761" s="47" t="e">
        <f>E761*1.092</f>
        <v>#REF!</v>
      </c>
      <c r="G761" s="44">
        <v>513</v>
      </c>
      <c r="H761" s="53">
        <f t="shared" ref="H761:H766" si="297">J761*I761</f>
        <v>291.531744</v>
      </c>
      <c r="I761" s="70">
        <v>1.0620000000000001</v>
      </c>
      <c r="J761" s="44">
        <f t="shared" ref="J761:J799" si="298">K761*L761</f>
        <v>274.512</v>
      </c>
      <c r="K761" s="70">
        <v>1.0640000000000001</v>
      </c>
      <c r="L761" s="44">
        <v>258</v>
      </c>
      <c r="M761" s="47">
        <v>1.07</v>
      </c>
      <c r="N761" s="44">
        <f t="shared" si="265"/>
        <v>657.83549999999991</v>
      </c>
      <c r="O761" s="70">
        <v>1.075</v>
      </c>
      <c r="P761" s="44">
        <f t="shared" si="279"/>
        <v>611.93999999999994</v>
      </c>
      <c r="Q761" s="70">
        <v>1.085</v>
      </c>
      <c r="R761" s="44">
        <v>564</v>
      </c>
      <c r="S761" s="44">
        <f t="shared" si="294"/>
        <v>564.30000000000007</v>
      </c>
      <c r="T761" s="50">
        <v>1.1000000000000001</v>
      </c>
      <c r="U761" s="44">
        <f t="shared" si="294"/>
        <v>331.27918197695999</v>
      </c>
      <c r="V761" s="203">
        <f t="shared" si="295"/>
        <v>311.93896608</v>
      </c>
      <c r="W761" s="266">
        <f t="shared" si="296"/>
        <v>311.93896608</v>
      </c>
      <c r="X761" s="206">
        <f>401*106.5%</f>
        <v>427.065</v>
      </c>
    </row>
    <row r="762" spans="1:24" ht="15" customHeight="1" x14ac:dyDescent="0.2">
      <c r="A762" s="128" t="s">
        <v>264</v>
      </c>
      <c r="B762" s="127" t="s">
        <v>118</v>
      </c>
      <c r="C762" s="33" t="s">
        <v>119</v>
      </c>
      <c r="D762" s="46" t="e">
        <f>#REF!*1.55</f>
        <v>#REF!</v>
      </c>
      <c r="E762" s="47" t="e">
        <f>ROUND(D762,0)</f>
        <v>#REF!</v>
      </c>
      <c r="F762" s="47" t="e">
        <f>E762*1.092</f>
        <v>#REF!</v>
      </c>
      <c r="G762" s="44">
        <v>394</v>
      </c>
      <c r="H762" s="53">
        <f t="shared" si="297"/>
        <v>1814.7286080000001</v>
      </c>
      <c r="I762" s="70">
        <v>1.0620000000000001</v>
      </c>
      <c r="J762" s="44">
        <f t="shared" si="298"/>
        <v>1708.7840000000001</v>
      </c>
      <c r="K762" s="70">
        <v>1.0640000000000001</v>
      </c>
      <c r="L762" s="44">
        <v>1606</v>
      </c>
      <c r="M762" s="47">
        <v>1.07</v>
      </c>
      <c r="N762" s="44">
        <f t="shared" si="265"/>
        <v>505.04037499999998</v>
      </c>
      <c r="O762" s="70">
        <v>1.075</v>
      </c>
      <c r="P762" s="44">
        <f t="shared" si="279"/>
        <v>469.80500000000001</v>
      </c>
      <c r="Q762" s="70">
        <v>1.085</v>
      </c>
      <c r="R762" s="44">
        <v>433</v>
      </c>
      <c r="S762" s="44">
        <f t="shared" si="294"/>
        <v>433.40000000000003</v>
      </c>
      <c r="T762" s="50">
        <v>1.1000000000000001</v>
      </c>
      <c r="U762" s="44">
        <f t="shared" si="294"/>
        <v>2062.1487064147204</v>
      </c>
      <c r="V762" s="203">
        <f t="shared" si="295"/>
        <v>1941.7596105600003</v>
      </c>
      <c r="W762" s="266">
        <f t="shared" si="296"/>
        <v>1941.7596105600003</v>
      </c>
      <c r="X762" s="206">
        <f>2489*106.5%</f>
        <v>2650.7849999999999</v>
      </c>
    </row>
    <row r="763" spans="1:24" x14ac:dyDescent="0.2">
      <c r="A763" s="128" t="s">
        <v>265</v>
      </c>
      <c r="B763" s="127" t="s">
        <v>120</v>
      </c>
      <c r="C763" s="33" t="s">
        <v>121</v>
      </c>
      <c r="D763" s="46" t="e">
        <f>#REF!*1.55</f>
        <v>#REF!</v>
      </c>
      <c r="E763" s="47" t="e">
        <f>ROUND(D763,0)</f>
        <v>#REF!</v>
      </c>
      <c r="F763" s="47" t="e">
        <f>E763*1.092</f>
        <v>#REF!</v>
      </c>
      <c r="G763" s="44">
        <v>1661</v>
      </c>
      <c r="H763" s="198">
        <f t="shared" si="297"/>
        <v>955.95292800000004</v>
      </c>
      <c r="I763" s="70">
        <v>1.0620000000000001</v>
      </c>
      <c r="J763" s="44">
        <f t="shared" si="298"/>
        <v>900.14400000000001</v>
      </c>
      <c r="K763" s="70">
        <v>1.0640000000000001</v>
      </c>
      <c r="L763" s="44">
        <v>846</v>
      </c>
      <c r="M763" s="47">
        <v>1.07</v>
      </c>
      <c r="N763" s="44">
        <f>O763*P763</f>
        <v>2130.9671249999997</v>
      </c>
      <c r="O763" s="70">
        <v>1.075</v>
      </c>
      <c r="P763" s="44">
        <f t="shared" si="279"/>
        <v>1982.2949999999998</v>
      </c>
      <c r="Q763" s="70">
        <v>1.085</v>
      </c>
      <c r="R763" s="44">
        <v>1827</v>
      </c>
      <c r="S763" s="44">
        <f t="shared" si="294"/>
        <v>1827.1000000000001</v>
      </c>
      <c r="T763" s="50">
        <v>1.1000000000000001</v>
      </c>
      <c r="U763" s="44">
        <f t="shared" si="294"/>
        <v>1086.2875502035201</v>
      </c>
      <c r="V763" s="203">
        <f t="shared" si="295"/>
        <v>1022.8696329600001</v>
      </c>
      <c r="W763" s="266">
        <f t="shared" si="296"/>
        <v>1022.8696329600001</v>
      </c>
      <c r="X763" s="206">
        <f>1311*106.5%</f>
        <v>1396.2149999999999</v>
      </c>
    </row>
    <row r="764" spans="1:24" ht="30" x14ac:dyDescent="0.2">
      <c r="A764" s="128" t="s">
        <v>266</v>
      </c>
      <c r="B764" s="127" t="s">
        <v>122</v>
      </c>
      <c r="C764" s="33" t="s">
        <v>123</v>
      </c>
      <c r="D764" s="284"/>
      <c r="E764" s="284"/>
      <c r="F764" s="47"/>
      <c r="G764" s="44">
        <v>2200</v>
      </c>
      <c r="H764" s="198">
        <f t="shared" si="297"/>
        <v>1401.1603200000002</v>
      </c>
      <c r="I764" s="70">
        <v>1.0620000000000001</v>
      </c>
      <c r="J764" s="44">
        <f t="shared" si="298"/>
        <v>1319.3600000000001</v>
      </c>
      <c r="K764" s="70">
        <v>1.0640000000000001</v>
      </c>
      <c r="L764" s="44">
        <v>1240</v>
      </c>
      <c r="M764" s="47">
        <v>1.07</v>
      </c>
      <c r="N764" s="44">
        <f>O764*P764</f>
        <v>2822.6274999999996</v>
      </c>
      <c r="O764" s="70">
        <v>1.075</v>
      </c>
      <c r="P764" s="44">
        <f t="shared" si="279"/>
        <v>2625.7</v>
      </c>
      <c r="Q764" s="70">
        <v>1.085</v>
      </c>
      <c r="R764" s="44">
        <v>2420</v>
      </c>
      <c r="S764" s="44">
        <f>G764*T764</f>
        <v>2420</v>
      </c>
      <c r="T764" s="50">
        <v>1.1000000000000001</v>
      </c>
      <c r="U764" s="44">
        <f>I764*V764</f>
        <v>1592.1945180288003</v>
      </c>
      <c r="V764" s="203">
        <f t="shared" si="295"/>
        <v>1499.2415424000003</v>
      </c>
      <c r="W764" s="266">
        <f t="shared" si="296"/>
        <v>1499.2415424000003</v>
      </c>
      <c r="X764" s="206">
        <f>1921*106.5%</f>
        <v>2045.865</v>
      </c>
    </row>
    <row r="765" spans="1:24" ht="15" customHeight="1" x14ac:dyDescent="0.2">
      <c r="A765" s="128" t="s">
        <v>267</v>
      </c>
      <c r="B765" s="207" t="s">
        <v>124</v>
      </c>
      <c r="C765" s="208" t="s">
        <v>125</v>
      </c>
      <c r="D765" s="209"/>
      <c r="E765" s="209"/>
      <c r="F765" s="210">
        <v>2000</v>
      </c>
      <c r="G765" s="211">
        <v>2200</v>
      </c>
      <c r="H765" s="205">
        <f t="shared" si="297"/>
        <v>1032.7907520000001</v>
      </c>
      <c r="I765" s="212">
        <v>1.0620000000000001</v>
      </c>
      <c r="J765" s="211">
        <f t="shared" si="298"/>
        <v>972.49600000000009</v>
      </c>
      <c r="K765" s="212">
        <v>1.0640000000000001</v>
      </c>
      <c r="L765" s="211">
        <v>914</v>
      </c>
      <c r="M765" s="210">
        <v>1.07</v>
      </c>
      <c r="N765" s="211">
        <f>O765*P765</f>
        <v>2822.6274999999996</v>
      </c>
      <c r="O765" s="212">
        <v>1.075</v>
      </c>
      <c r="P765" s="211">
        <f t="shared" si="279"/>
        <v>2625.7</v>
      </c>
      <c r="Q765" s="212">
        <v>1.085</v>
      </c>
      <c r="R765" s="211">
        <f>S765</f>
        <v>2420</v>
      </c>
      <c r="S765" s="211">
        <f>G765*T765</f>
        <v>2420</v>
      </c>
      <c r="T765" s="213">
        <v>1.1000000000000001</v>
      </c>
      <c r="U765" s="211">
        <f>I765*V765</f>
        <v>1173.6014431276803</v>
      </c>
      <c r="V765" s="203">
        <f t="shared" si="295"/>
        <v>1105.0861046400003</v>
      </c>
      <c r="W765" s="269">
        <f t="shared" si="296"/>
        <v>1105.0861046400003</v>
      </c>
      <c r="X765" s="206">
        <f>1417*106.5%</f>
        <v>1509.105</v>
      </c>
    </row>
    <row r="766" spans="1:24" ht="16.5" customHeight="1" x14ac:dyDescent="0.2">
      <c r="A766" s="128" t="s">
        <v>268</v>
      </c>
      <c r="B766" s="33" t="s">
        <v>126</v>
      </c>
      <c r="C766" s="33" t="s">
        <v>127</v>
      </c>
      <c r="D766" s="284"/>
      <c r="E766" s="284"/>
      <c r="F766" s="47">
        <v>2000</v>
      </c>
      <c r="G766" s="44">
        <v>2200</v>
      </c>
      <c r="H766" s="198">
        <f t="shared" si="297"/>
        <v>4311.9578880000008</v>
      </c>
      <c r="I766" s="70">
        <v>1.0620000000000001</v>
      </c>
      <c r="J766" s="44">
        <f t="shared" si="298"/>
        <v>4060.2240000000002</v>
      </c>
      <c r="K766" s="70">
        <v>1.0640000000000001</v>
      </c>
      <c r="L766" s="44">
        <v>3816</v>
      </c>
      <c r="M766" s="47">
        <v>1.07</v>
      </c>
      <c r="N766" s="44">
        <f>O766*P766</f>
        <v>2822.6274999999996</v>
      </c>
      <c r="O766" s="70">
        <v>1.075</v>
      </c>
      <c r="P766" s="44">
        <f t="shared" si="279"/>
        <v>2625.7</v>
      </c>
      <c r="Q766" s="70">
        <v>1.085</v>
      </c>
      <c r="R766" s="44">
        <f>S766</f>
        <v>2420</v>
      </c>
      <c r="S766" s="44">
        <f>G766*T766</f>
        <v>2420</v>
      </c>
      <c r="T766" s="50">
        <v>1.1000000000000001</v>
      </c>
      <c r="U766" s="44">
        <f>I766*V766</f>
        <v>4899.8502264499211</v>
      </c>
      <c r="V766" s="225">
        <f t="shared" si="295"/>
        <v>4613.7949401600008</v>
      </c>
      <c r="W766" s="266">
        <f t="shared" si="296"/>
        <v>4613.7949401600008</v>
      </c>
      <c r="X766" s="206">
        <f>5916*106.5%</f>
        <v>6300.54</v>
      </c>
    </row>
    <row r="767" spans="1:24" ht="27" customHeight="1" x14ac:dyDescent="0.25">
      <c r="A767" s="128" t="s">
        <v>727</v>
      </c>
      <c r="B767" s="423" t="s">
        <v>128</v>
      </c>
      <c r="C767" s="423"/>
      <c r="D767" s="423"/>
      <c r="E767" s="423"/>
      <c r="F767" s="423"/>
      <c r="G767" s="423"/>
      <c r="H767" s="423"/>
      <c r="I767" s="423"/>
      <c r="J767" s="423"/>
      <c r="K767" s="221"/>
      <c r="L767" s="222"/>
      <c r="M767" s="221"/>
      <c r="N767" s="222"/>
      <c r="O767" s="223">
        <v>1.075</v>
      </c>
      <c r="P767" s="222"/>
      <c r="Q767" s="223"/>
      <c r="R767" s="222"/>
      <c r="S767" s="222"/>
      <c r="T767" s="224"/>
      <c r="U767" s="222"/>
      <c r="V767" s="15"/>
      <c r="X767" s="206"/>
    </row>
    <row r="768" spans="1:24" ht="42" customHeight="1" x14ac:dyDescent="0.2">
      <c r="A768" s="284" t="s">
        <v>129</v>
      </c>
      <c r="B768" s="33" t="s">
        <v>130</v>
      </c>
      <c r="C768" s="33" t="s">
        <v>131</v>
      </c>
      <c r="D768" s="284"/>
      <c r="E768" s="284"/>
      <c r="F768" s="47">
        <v>5000</v>
      </c>
      <c r="G768" s="44">
        <v>5500</v>
      </c>
      <c r="H768" s="198">
        <f>J768*I768</f>
        <v>1370.6511840000001</v>
      </c>
      <c r="I768" s="70">
        <v>1.0620000000000001</v>
      </c>
      <c r="J768" s="44">
        <f t="shared" si="298"/>
        <v>1290.6320000000001</v>
      </c>
      <c r="K768" s="70">
        <v>1.0640000000000001</v>
      </c>
      <c r="L768" s="44">
        <v>1213</v>
      </c>
      <c r="M768" s="47">
        <v>1.07</v>
      </c>
      <c r="N768" s="44">
        <f>O768*P768</f>
        <v>7056.5687499999995</v>
      </c>
      <c r="O768" s="70">
        <v>1.075</v>
      </c>
      <c r="P768" s="44">
        <f t="shared" si="279"/>
        <v>6564.25</v>
      </c>
      <c r="Q768" s="70">
        <v>1.085</v>
      </c>
      <c r="R768" s="44">
        <v>6050</v>
      </c>
      <c r="S768" s="44">
        <f>G768*T768</f>
        <v>6050.0000000000009</v>
      </c>
      <c r="T768" s="50">
        <v>1.1000000000000001</v>
      </c>
      <c r="U768" s="44">
        <f>I768*V768</f>
        <v>1557.5257664265603</v>
      </c>
      <c r="V768" s="225">
        <f>H768*107%</f>
        <v>1466.5967668800001</v>
      </c>
      <c r="W768" s="266">
        <f>V768</f>
        <v>1466.5967668800001</v>
      </c>
      <c r="X768" s="206">
        <f>1883*106.5%</f>
        <v>2005.395</v>
      </c>
    </row>
    <row r="769" spans="1:24" ht="45" x14ac:dyDescent="0.2">
      <c r="A769" s="284" t="s">
        <v>132</v>
      </c>
      <c r="B769" s="214" t="s">
        <v>133</v>
      </c>
      <c r="C769" s="215" t="s">
        <v>134</v>
      </c>
      <c r="D769" s="115"/>
      <c r="E769" s="115"/>
      <c r="F769" s="216">
        <v>8000</v>
      </c>
      <c r="G769" s="217">
        <v>8800</v>
      </c>
      <c r="H769" s="218">
        <f>J769*I769</f>
        <v>2602.3163040000004</v>
      </c>
      <c r="I769" s="219">
        <v>1.0620000000000001</v>
      </c>
      <c r="J769" s="217">
        <f t="shared" si="298"/>
        <v>2450.3920000000003</v>
      </c>
      <c r="K769" s="219">
        <v>1.0640000000000001</v>
      </c>
      <c r="L769" s="217">
        <v>2303</v>
      </c>
      <c r="M769" s="216">
        <v>1.07</v>
      </c>
      <c r="N769" s="217">
        <f>O769*P769</f>
        <v>11290.509999999998</v>
      </c>
      <c r="O769" s="219">
        <v>1.075</v>
      </c>
      <c r="P769" s="217">
        <f t="shared" si="279"/>
        <v>10502.8</v>
      </c>
      <c r="Q769" s="219">
        <v>1.085</v>
      </c>
      <c r="R769" s="217">
        <v>9680</v>
      </c>
      <c r="S769" s="217">
        <f>G769*T769</f>
        <v>9680</v>
      </c>
      <c r="T769" s="220">
        <v>1.1000000000000001</v>
      </c>
      <c r="U769" s="217">
        <f>I769*V769</f>
        <v>2957.1161088873605</v>
      </c>
      <c r="V769" s="203">
        <f>H769*107%</f>
        <v>2784.4784452800004</v>
      </c>
      <c r="W769" s="270">
        <f>V769</f>
        <v>2784.4784452800004</v>
      </c>
      <c r="X769" s="206">
        <f>3570*106.5%</f>
        <v>3802.0499999999997</v>
      </c>
    </row>
    <row r="770" spans="1:24" x14ac:dyDescent="0.2">
      <c r="A770" s="284" t="s">
        <v>135</v>
      </c>
      <c r="B770" s="279" t="s">
        <v>540</v>
      </c>
      <c r="C770" s="128" t="s">
        <v>127</v>
      </c>
      <c r="D770" s="85"/>
      <c r="E770" s="99"/>
      <c r="F770" s="85"/>
      <c r="G770" s="100"/>
      <c r="H770" s="53">
        <f>J770*I770</f>
        <v>4311.9578880000008</v>
      </c>
      <c r="I770" s="70">
        <v>1.0620000000000001</v>
      </c>
      <c r="J770" s="44">
        <f t="shared" si="298"/>
        <v>4060.2240000000002</v>
      </c>
      <c r="K770" s="70">
        <v>1.0640000000000001</v>
      </c>
      <c r="L770" s="44">
        <v>3816</v>
      </c>
      <c r="M770" s="47">
        <v>1.07</v>
      </c>
      <c r="N770" s="44"/>
      <c r="O770" s="70"/>
      <c r="P770" s="44"/>
      <c r="Q770" s="70"/>
      <c r="R770" s="44"/>
      <c r="S770" s="85"/>
      <c r="T770" s="85"/>
      <c r="U770" s="85"/>
      <c r="V770" s="203">
        <f>H770*107%</f>
        <v>4613.7949401600008</v>
      </c>
      <c r="W770" s="266">
        <f>V770</f>
        <v>4613.7949401600008</v>
      </c>
      <c r="X770" s="206">
        <f>5916*106.5%</f>
        <v>6300.54</v>
      </c>
    </row>
    <row r="771" spans="1:24" ht="30" x14ac:dyDescent="0.2">
      <c r="A771" s="284" t="s">
        <v>136</v>
      </c>
      <c r="B771" s="126" t="s">
        <v>548</v>
      </c>
      <c r="C771" s="128" t="s">
        <v>127</v>
      </c>
      <c r="D771" s="284"/>
      <c r="E771" s="284"/>
      <c r="F771" s="47">
        <v>632</v>
      </c>
      <c r="G771" s="44">
        <v>695</v>
      </c>
      <c r="H771" s="198">
        <f>J771*I771</f>
        <v>4311.9578880000008</v>
      </c>
      <c r="I771" s="70">
        <v>1.0620000000000001</v>
      </c>
      <c r="J771" s="44">
        <f t="shared" si="298"/>
        <v>4060.2240000000002</v>
      </c>
      <c r="K771" s="70">
        <v>1.0640000000000001</v>
      </c>
      <c r="L771" s="44">
        <v>3816</v>
      </c>
      <c r="M771" s="47">
        <v>1.07</v>
      </c>
      <c r="N771" s="44">
        <f>O771*P771</f>
        <v>892.2768749999999</v>
      </c>
      <c r="O771" s="70">
        <v>1.075</v>
      </c>
      <c r="P771" s="44">
        <f t="shared" si="279"/>
        <v>830.02499999999998</v>
      </c>
      <c r="Q771" s="70">
        <v>1.085</v>
      </c>
      <c r="R771" s="44">
        <v>765</v>
      </c>
      <c r="S771" s="44">
        <f>G771*T771</f>
        <v>764.50000000000011</v>
      </c>
      <c r="T771" s="50">
        <v>1.1000000000000001</v>
      </c>
      <c r="U771" s="44">
        <f>I771*V771</f>
        <v>4899.8502264499211</v>
      </c>
      <c r="V771" s="203">
        <f>H771*107%</f>
        <v>4613.7949401600008</v>
      </c>
      <c r="W771" s="266">
        <f>V771</f>
        <v>4613.7949401600008</v>
      </c>
      <c r="X771" s="206">
        <f>5916*106.5%</f>
        <v>6300.54</v>
      </c>
    </row>
    <row r="772" spans="1:24" ht="28.5" customHeight="1" x14ac:dyDescent="0.2">
      <c r="A772" s="284" t="s">
        <v>137</v>
      </c>
      <c r="B772" s="207" t="s">
        <v>549</v>
      </c>
      <c r="C772" s="290" t="s">
        <v>127</v>
      </c>
      <c r="D772" s="209"/>
      <c r="E772" s="209"/>
      <c r="F772" s="210"/>
      <c r="G772" s="211"/>
      <c r="H772" s="205">
        <f>J772*I772</f>
        <v>4311.9578880000008</v>
      </c>
      <c r="I772" s="212">
        <v>1.0620000000000001</v>
      </c>
      <c r="J772" s="211">
        <f t="shared" si="298"/>
        <v>4060.2240000000002</v>
      </c>
      <c r="K772" s="212">
        <v>1.0640000000000001</v>
      </c>
      <c r="L772" s="229">
        <v>3816</v>
      </c>
      <c r="M772" s="210"/>
      <c r="N772" s="211"/>
      <c r="O772" s="212">
        <v>1.075</v>
      </c>
      <c r="P772" s="229" t="s">
        <v>623</v>
      </c>
      <c r="Q772" s="212">
        <v>1.085</v>
      </c>
      <c r="R772" s="211" t="str">
        <f>S772</f>
        <v>договорная</v>
      </c>
      <c r="S772" s="229" t="s">
        <v>623</v>
      </c>
      <c r="T772" s="213"/>
      <c r="U772" s="229" t="s">
        <v>623</v>
      </c>
      <c r="V772" s="203">
        <f>H772*107%</f>
        <v>4613.7949401600008</v>
      </c>
      <c r="W772" s="266">
        <f>V772</f>
        <v>4613.7949401600008</v>
      </c>
      <c r="X772" s="206">
        <f>5916*106.5%</f>
        <v>6300.54</v>
      </c>
    </row>
    <row r="773" spans="1:24" s="60" customFormat="1" ht="15.95" customHeight="1" x14ac:dyDescent="0.2">
      <c r="A773" s="428" t="s">
        <v>841</v>
      </c>
      <c r="B773" s="384" t="s">
        <v>711</v>
      </c>
      <c r="C773" s="385"/>
      <c r="D773" s="385"/>
      <c r="E773" s="385"/>
      <c r="F773" s="385"/>
      <c r="G773" s="385"/>
      <c r="H773" s="385"/>
      <c r="I773" s="385"/>
      <c r="J773" s="385"/>
      <c r="K773" s="223"/>
      <c r="L773" s="222"/>
      <c r="M773" s="221"/>
      <c r="N773" s="222"/>
      <c r="O773" s="223"/>
      <c r="P773" s="222"/>
      <c r="Q773" s="223"/>
      <c r="R773" s="222"/>
      <c r="V773" s="25"/>
      <c r="X773" s="206"/>
    </row>
    <row r="774" spans="1:24" s="60" customFormat="1" ht="28.5" customHeight="1" x14ac:dyDescent="0.2">
      <c r="A774" s="428"/>
      <c r="B774" s="108" t="s">
        <v>846</v>
      </c>
      <c r="C774" s="253"/>
      <c r="D774" s="253"/>
      <c r="E774" s="253"/>
      <c r="F774" s="253"/>
      <c r="G774" s="253"/>
      <c r="H774" s="253"/>
      <c r="I774" s="253"/>
      <c r="J774" s="253"/>
      <c r="K774" s="223"/>
      <c r="L774" s="222"/>
      <c r="M774" s="221"/>
      <c r="N774" s="222"/>
      <c r="O774" s="223"/>
      <c r="P774" s="222"/>
      <c r="Q774" s="223"/>
      <c r="R774" s="222"/>
      <c r="V774" s="25"/>
      <c r="W774" s="267">
        <v>16200</v>
      </c>
      <c r="X774" s="206">
        <f>20774*106.5%</f>
        <v>22124.309999999998</v>
      </c>
    </row>
    <row r="775" spans="1:24" s="60" customFormat="1" ht="31.5" customHeight="1" x14ac:dyDescent="0.2">
      <c r="A775" s="428"/>
      <c r="B775" s="254" t="s">
        <v>847</v>
      </c>
      <c r="C775" s="253"/>
      <c r="D775" s="253"/>
      <c r="E775" s="253"/>
      <c r="F775" s="253"/>
      <c r="G775" s="253"/>
      <c r="H775" s="253"/>
      <c r="I775" s="253"/>
      <c r="J775" s="253"/>
      <c r="K775" s="223"/>
      <c r="L775" s="222"/>
      <c r="M775" s="221"/>
      <c r="N775" s="222"/>
      <c r="O775" s="223"/>
      <c r="P775" s="222"/>
      <c r="Q775" s="223"/>
      <c r="R775" s="222"/>
      <c r="V775" s="25"/>
      <c r="W775" s="267">
        <v>67000</v>
      </c>
      <c r="X775" s="206">
        <f>85916*106.5%</f>
        <v>91500.54</v>
      </c>
    </row>
    <row r="776" spans="1:24" x14ac:dyDescent="0.2">
      <c r="A776" s="368"/>
      <c r="B776" s="230" t="s">
        <v>838</v>
      </c>
      <c r="C776" s="231" t="s">
        <v>138</v>
      </c>
      <c r="D776" s="232"/>
      <c r="E776" s="233"/>
      <c r="F776" s="232"/>
      <c r="G776" s="234"/>
      <c r="H776" s="235">
        <f>J776*I776</f>
        <v>1079.1194400000002</v>
      </c>
      <c r="I776" s="219">
        <v>1.0620000000000001</v>
      </c>
      <c r="J776" s="217">
        <f t="shared" si="298"/>
        <v>1016.12</v>
      </c>
      <c r="K776" s="219">
        <v>1.0640000000000001</v>
      </c>
      <c r="L776" s="217">
        <v>955</v>
      </c>
      <c r="M776" s="216"/>
      <c r="N776" s="217"/>
      <c r="O776" s="219"/>
      <c r="P776" s="217"/>
      <c r="Q776" s="219"/>
      <c r="R776" s="217"/>
      <c r="S776" s="236"/>
      <c r="T776" s="232"/>
      <c r="U776" s="236"/>
      <c r="V776" s="203">
        <f>H776*107%</f>
        <v>1154.6578008000004</v>
      </c>
      <c r="W776" s="266">
        <f>V776</f>
        <v>1154.6578008000004</v>
      </c>
      <c r="X776" s="206">
        <f>1481*106.5%</f>
        <v>1577.2649999999999</v>
      </c>
    </row>
    <row r="777" spans="1:24" ht="45" customHeight="1" x14ac:dyDescent="0.25">
      <c r="A777" s="128" t="s">
        <v>840</v>
      </c>
      <c r="B777" s="126" t="s">
        <v>839</v>
      </c>
      <c r="C777" s="104"/>
      <c r="D777" s="85"/>
      <c r="E777" s="99"/>
      <c r="F777" s="85"/>
      <c r="G777" s="100"/>
      <c r="H777" s="44" t="s">
        <v>623</v>
      </c>
      <c r="I777" s="100"/>
      <c r="J777" s="44" t="s">
        <v>623</v>
      </c>
      <c r="K777" s="70"/>
      <c r="L777" s="44"/>
      <c r="M777" s="47">
        <v>1.07</v>
      </c>
      <c r="N777" s="44">
        <f>O777*P777</f>
        <v>161.25</v>
      </c>
      <c r="O777" s="70">
        <v>1.075</v>
      </c>
      <c r="P777" s="44">
        <v>150</v>
      </c>
      <c r="Q777" s="70"/>
      <c r="R777" s="44">
        <v>150</v>
      </c>
      <c r="S777" s="105">
        <v>150</v>
      </c>
      <c r="T777" s="85"/>
      <c r="U777" s="105">
        <v>151</v>
      </c>
      <c r="V777" s="15"/>
      <c r="W777" s="267">
        <v>97800</v>
      </c>
      <c r="X777" s="206">
        <f>125411*106.5%</f>
        <v>133562.715</v>
      </c>
    </row>
    <row r="778" spans="1:24" ht="29.45" customHeight="1" x14ac:dyDescent="0.25">
      <c r="A778" s="128" t="s">
        <v>905</v>
      </c>
      <c r="B778" s="126" t="s">
        <v>906</v>
      </c>
      <c r="C778" s="144"/>
      <c r="D778" s="228"/>
      <c r="E778" s="303"/>
      <c r="F778" s="228"/>
      <c r="G778" s="304"/>
      <c r="H778" s="298"/>
      <c r="I778" s="304"/>
      <c r="J778" s="305"/>
      <c r="K778" s="70"/>
      <c r="L778" s="44"/>
      <c r="M778" s="47"/>
      <c r="N778" s="44"/>
      <c r="O778" s="70"/>
      <c r="P778" s="44"/>
      <c r="Q778" s="70"/>
      <c r="R778" s="44"/>
      <c r="S778" s="105"/>
      <c r="T778" s="85"/>
      <c r="U778" s="105"/>
      <c r="V778" s="15"/>
      <c r="W778" s="306"/>
      <c r="X778" s="206">
        <f>71348*106.5%</f>
        <v>75985.62</v>
      </c>
    </row>
    <row r="779" spans="1:24" ht="30" customHeight="1" x14ac:dyDescent="0.25">
      <c r="A779" s="128" t="s">
        <v>907</v>
      </c>
      <c r="B779" s="126" t="s">
        <v>908</v>
      </c>
      <c r="C779" s="144"/>
      <c r="D779" s="228"/>
      <c r="E779" s="303"/>
      <c r="F779" s="228"/>
      <c r="G779" s="304"/>
      <c r="H779" s="298"/>
      <c r="I779" s="304"/>
      <c r="J779" s="305"/>
      <c r="K779" s="70"/>
      <c r="L779" s="44"/>
      <c r="M779" s="47"/>
      <c r="N779" s="44"/>
      <c r="O779" s="70"/>
      <c r="P779" s="44"/>
      <c r="Q779" s="70"/>
      <c r="R779" s="44"/>
      <c r="S779" s="105"/>
      <c r="T779" s="85"/>
      <c r="U779" s="105"/>
      <c r="V779" s="15"/>
      <c r="W779" s="306"/>
      <c r="X779" s="206">
        <f>114158*106.5%</f>
        <v>121578.26999999999</v>
      </c>
    </row>
    <row r="780" spans="1:24" ht="29.1" customHeight="1" x14ac:dyDescent="0.25">
      <c r="A780" s="128" t="s">
        <v>909</v>
      </c>
      <c r="B780" s="126" t="s">
        <v>910</v>
      </c>
      <c r="C780" s="144"/>
      <c r="D780" s="228"/>
      <c r="E780" s="303"/>
      <c r="F780" s="228"/>
      <c r="G780" s="304"/>
      <c r="H780" s="298"/>
      <c r="I780" s="304"/>
      <c r="J780" s="305"/>
      <c r="K780" s="70"/>
      <c r="L780" s="44"/>
      <c r="M780" s="47"/>
      <c r="N780" s="44"/>
      <c r="O780" s="70"/>
      <c r="P780" s="44"/>
      <c r="Q780" s="70"/>
      <c r="R780" s="44"/>
      <c r="S780" s="105"/>
      <c r="T780" s="85"/>
      <c r="U780" s="105"/>
      <c r="V780" s="15"/>
      <c r="W780" s="306"/>
      <c r="X780" s="206">
        <f>142697*106.5%</f>
        <v>151972.30499999999</v>
      </c>
    </row>
    <row r="781" spans="1:24" ht="16.5" customHeight="1" x14ac:dyDescent="0.25">
      <c r="A781" s="128" t="s">
        <v>911</v>
      </c>
      <c r="B781" s="126" t="s">
        <v>834</v>
      </c>
      <c r="C781" s="144"/>
      <c r="D781" s="228"/>
      <c r="E781" s="303"/>
      <c r="F781" s="228"/>
      <c r="G781" s="304"/>
      <c r="H781" s="298"/>
      <c r="I781" s="304"/>
      <c r="J781" s="305"/>
      <c r="K781" s="70"/>
      <c r="L781" s="44"/>
      <c r="M781" s="47"/>
      <c r="N781" s="44"/>
      <c r="O781" s="70"/>
      <c r="P781" s="44"/>
      <c r="Q781" s="70"/>
      <c r="R781" s="44"/>
      <c r="S781" s="105"/>
      <c r="T781" s="85"/>
      <c r="U781" s="105"/>
      <c r="V781" s="15"/>
      <c r="W781" s="306"/>
      <c r="X781" s="206">
        <f>16466*106.5%</f>
        <v>17536.29</v>
      </c>
    </row>
    <row r="782" spans="1:24" ht="17.45" customHeight="1" x14ac:dyDescent="0.25">
      <c r="A782" s="98"/>
      <c r="B782" s="429" t="s">
        <v>714</v>
      </c>
      <c r="C782" s="430"/>
      <c r="D782" s="430"/>
      <c r="E782" s="430"/>
      <c r="F782" s="430"/>
      <c r="G782" s="430"/>
      <c r="H782" s="430"/>
      <c r="I782" s="430"/>
      <c r="J782" s="431"/>
      <c r="K782" s="70"/>
      <c r="L782" s="110"/>
      <c r="M782" s="110"/>
      <c r="N782" s="110"/>
      <c r="O782" s="110"/>
      <c r="P782" s="110"/>
      <c r="Q782" s="110"/>
      <c r="R782" s="110"/>
      <c r="S782" s="110"/>
      <c r="T782" s="107"/>
      <c r="U782" s="110"/>
      <c r="V782" s="15"/>
      <c r="W782" s="228"/>
      <c r="X782" s="206"/>
    </row>
    <row r="783" spans="1:24" ht="30" customHeight="1" x14ac:dyDescent="0.25">
      <c r="A783" s="128" t="s">
        <v>552</v>
      </c>
      <c r="B783" s="345" t="s">
        <v>952</v>
      </c>
      <c r="C783" s="346"/>
      <c r="D783" s="346"/>
      <c r="E783" s="346"/>
      <c r="F783" s="346"/>
      <c r="G783" s="346"/>
      <c r="H783" s="346"/>
      <c r="I783" s="346"/>
      <c r="J783" s="347"/>
      <c r="K783" s="70"/>
      <c r="L783" s="131"/>
      <c r="M783" s="119"/>
      <c r="N783" s="119"/>
      <c r="O783" s="119"/>
      <c r="P783" s="120"/>
      <c r="Q783" s="111"/>
      <c r="R783" s="111"/>
      <c r="S783" s="111"/>
      <c r="T783" s="107"/>
      <c r="U783" s="111"/>
      <c r="V783" s="15"/>
      <c r="X783" s="206"/>
    </row>
    <row r="784" spans="1:24" ht="14.1" customHeight="1" x14ac:dyDescent="0.25">
      <c r="A784" s="387"/>
      <c r="B784" s="106" t="s">
        <v>715</v>
      </c>
      <c r="C784" s="85"/>
      <c r="D784" s="35"/>
      <c r="E784" s="35"/>
      <c r="F784" s="34"/>
      <c r="G784" s="129"/>
      <c r="H784" s="53">
        <f>J784*I784</f>
        <v>195.484464</v>
      </c>
      <c r="I784" s="70">
        <v>1.0620000000000001</v>
      </c>
      <c r="J784" s="44">
        <f t="shared" si="298"/>
        <v>184.072</v>
      </c>
      <c r="K784" s="70">
        <v>1.0640000000000001</v>
      </c>
      <c r="L784" s="57">
        <v>173</v>
      </c>
      <c r="M784" s="130"/>
      <c r="N784" s="57"/>
      <c r="O784" s="57"/>
      <c r="P784" s="57"/>
      <c r="Q784" s="57"/>
      <c r="R784" s="57"/>
      <c r="S784" s="57"/>
      <c r="T784" s="62"/>
      <c r="U784" s="57"/>
      <c r="V784" s="203">
        <f>H784*107%</f>
        <v>209.16837648000001</v>
      </c>
      <c r="W784" s="266">
        <f>V784</f>
        <v>209.16837648000001</v>
      </c>
      <c r="X784" s="206">
        <f>291*106.5%</f>
        <v>309.91499999999996</v>
      </c>
    </row>
    <row r="785" spans="1:24" ht="19.149999999999999" customHeight="1" x14ac:dyDescent="0.25">
      <c r="A785" s="397"/>
      <c r="B785" s="106" t="s">
        <v>716</v>
      </c>
      <c r="C785" s="35"/>
      <c r="D785" s="35"/>
      <c r="E785" s="35"/>
      <c r="F785" s="34"/>
      <c r="G785" s="129"/>
      <c r="H785" s="53">
        <f>J785*I785</f>
        <v>259.89264000000003</v>
      </c>
      <c r="I785" s="70">
        <v>1.0620000000000001</v>
      </c>
      <c r="J785" s="44">
        <f t="shared" si="298"/>
        <v>244.72000000000003</v>
      </c>
      <c r="K785" s="70">
        <v>1.0640000000000001</v>
      </c>
      <c r="L785" s="57">
        <v>230</v>
      </c>
      <c r="M785" s="130"/>
      <c r="N785" s="57"/>
      <c r="O785" s="57"/>
      <c r="P785" s="57"/>
      <c r="Q785" s="57"/>
      <c r="R785" s="57"/>
      <c r="S785" s="57"/>
      <c r="T785" s="62"/>
      <c r="U785" s="57"/>
      <c r="V785" s="203">
        <f>H785*107%</f>
        <v>278.08512480000007</v>
      </c>
      <c r="W785" s="266">
        <f>V785</f>
        <v>278.08512480000007</v>
      </c>
      <c r="X785" s="206">
        <f>356*106.5%</f>
        <v>379.14</v>
      </c>
    </row>
    <row r="786" spans="1:24" ht="19.149999999999999" customHeight="1" x14ac:dyDescent="0.25">
      <c r="A786" s="128" t="s">
        <v>912</v>
      </c>
      <c r="B786" s="315" t="s">
        <v>913</v>
      </c>
      <c r="C786" s="307"/>
      <c r="D786" s="307"/>
      <c r="E786" s="307"/>
      <c r="F786" s="308"/>
      <c r="G786" s="309"/>
      <c r="H786" s="310"/>
      <c r="I786" s="311"/>
      <c r="J786" s="312"/>
      <c r="K786" s="70"/>
      <c r="L786" s="57"/>
      <c r="M786" s="313"/>
      <c r="N786" s="313"/>
      <c r="O786" s="313"/>
      <c r="P786" s="313"/>
      <c r="Q786" s="313"/>
      <c r="R786" s="313"/>
      <c r="S786" s="313"/>
      <c r="T786" s="314"/>
      <c r="U786" s="313"/>
      <c r="V786" s="203"/>
      <c r="W786" s="276"/>
      <c r="X786" s="206">
        <f>1883*106.5%</f>
        <v>2005.395</v>
      </c>
    </row>
    <row r="787" spans="1:24" ht="16.5" customHeight="1" x14ac:dyDescent="0.25">
      <c r="A787" s="128" t="s">
        <v>977</v>
      </c>
      <c r="B787" s="315" t="s">
        <v>899</v>
      </c>
      <c r="C787" s="307"/>
      <c r="D787" s="307"/>
      <c r="E787" s="307"/>
      <c r="F787" s="308"/>
      <c r="G787" s="309"/>
      <c r="H787" s="310"/>
      <c r="I787" s="311"/>
      <c r="J787" s="312"/>
      <c r="K787" s="70"/>
      <c r="L787" s="57"/>
      <c r="M787" s="313"/>
      <c r="N787" s="313"/>
      <c r="O787" s="313"/>
      <c r="P787" s="313"/>
      <c r="Q787" s="313"/>
      <c r="R787" s="313"/>
      <c r="S787" s="313"/>
      <c r="T787" s="314"/>
      <c r="U787" s="313"/>
      <c r="V787" s="203"/>
      <c r="W787" s="276"/>
      <c r="X787" s="206">
        <f>728*106.5%</f>
        <v>775.31999999999994</v>
      </c>
    </row>
    <row r="788" spans="1:24" ht="27.95" customHeight="1" x14ac:dyDescent="0.25">
      <c r="A788" s="128" t="s">
        <v>978</v>
      </c>
      <c r="B788" s="327" t="s">
        <v>991</v>
      </c>
      <c r="C788" s="307"/>
      <c r="D788" s="307"/>
      <c r="E788" s="307"/>
      <c r="F788" s="308"/>
      <c r="G788" s="309"/>
      <c r="H788" s="310"/>
      <c r="I788" s="311"/>
      <c r="J788" s="312"/>
      <c r="K788" s="70"/>
      <c r="L788" s="57"/>
      <c r="M788" s="313"/>
      <c r="N788" s="313"/>
      <c r="O788" s="313"/>
      <c r="P788" s="313"/>
      <c r="Q788" s="313"/>
      <c r="R788" s="313"/>
      <c r="S788" s="313"/>
      <c r="T788" s="314"/>
      <c r="U788" s="313"/>
      <c r="V788" s="203"/>
      <c r="W788" s="276"/>
      <c r="X788" s="206">
        <f>728*106.5%</f>
        <v>775.31999999999994</v>
      </c>
    </row>
    <row r="789" spans="1:24" ht="16.5" customHeight="1" x14ac:dyDescent="0.25">
      <c r="A789" s="128" t="s">
        <v>980</v>
      </c>
      <c r="B789" s="315" t="s">
        <v>979</v>
      </c>
      <c r="C789" s="307"/>
      <c r="D789" s="307"/>
      <c r="E789" s="307"/>
      <c r="F789" s="308"/>
      <c r="G789" s="309"/>
      <c r="H789" s="310"/>
      <c r="I789" s="311"/>
      <c r="J789" s="312"/>
      <c r="K789" s="70"/>
      <c r="L789" s="57"/>
      <c r="M789" s="313"/>
      <c r="N789" s="313"/>
      <c r="O789" s="313"/>
      <c r="P789" s="313"/>
      <c r="Q789" s="313"/>
      <c r="R789" s="313"/>
      <c r="S789" s="313"/>
      <c r="T789" s="314"/>
      <c r="U789" s="313"/>
      <c r="V789" s="203"/>
      <c r="W789" s="276"/>
      <c r="X789" s="206">
        <f>728*106.5%</f>
        <v>775.31999999999994</v>
      </c>
    </row>
    <row r="790" spans="1:24" ht="15.95" customHeight="1" x14ac:dyDescent="0.25">
      <c r="A790" s="128" t="s">
        <v>990</v>
      </c>
      <c r="B790" s="315" t="s">
        <v>278</v>
      </c>
      <c r="C790" s="307"/>
      <c r="D790" s="307"/>
      <c r="E790" s="307"/>
      <c r="F790" s="308"/>
      <c r="G790" s="309"/>
      <c r="H790" s="310"/>
      <c r="I790" s="311"/>
      <c r="J790" s="312"/>
      <c r="K790" s="70"/>
      <c r="L790" s="57"/>
      <c r="M790" s="313"/>
      <c r="N790" s="313"/>
      <c r="O790" s="313"/>
      <c r="P790" s="313"/>
      <c r="Q790" s="313"/>
      <c r="R790" s="313"/>
      <c r="S790" s="313"/>
      <c r="T790" s="314"/>
      <c r="U790" s="313"/>
      <c r="V790" s="203"/>
      <c r="W790" s="276"/>
      <c r="X790" s="206">
        <f>685*106.5%</f>
        <v>729.52499999999998</v>
      </c>
    </row>
    <row r="791" spans="1:24" ht="19.899999999999999" customHeight="1" x14ac:dyDescent="0.25">
      <c r="A791" s="128"/>
      <c r="B791" s="432" t="s">
        <v>886</v>
      </c>
      <c r="C791" s="433"/>
      <c r="D791" s="433"/>
      <c r="E791" s="433"/>
      <c r="F791" s="433"/>
      <c r="G791" s="433"/>
      <c r="H791" s="433"/>
      <c r="I791" s="433"/>
      <c r="J791" s="434"/>
      <c r="K791" s="70"/>
      <c r="L791" s="132"/>
      <c r="M791" s="30"/>
      <c r="N791" s="30"/>
      <c r="O791" s="30"/>
      <c r="P791" s="30"/>
      <c r="Q791" s="30"/>
      <c r="R791" s="30"/>
      <c r="S791" s="8"/>
      <c r="T791" s="8"/>
      <c r="U791" s="8"/>
      <c r="V791" s="15"/>
      <c r="X791" s="206"/>
    </row>
    <row r="792" spans="1:24" ht="87.75" customHeight="1" x14ac:dyDescent="0.25">
      <c r="A792" s="128" t="s">
        <v>207</v>
      </c>
      <c r="B792" s="43" t="s">
        <v>554</v>
      </c>
      <c r="C792" s="35"/>
      <c r="F792" s="8"/>
      <c r="G792" s="30"/>
      <c r="H792" s="198">
        <f>J792*I792</f>
        <v>124.29648000000002</v>
      </c>
      <c r="I792" s="70">
        <v>1.0620000000000001</v>
      </c>
      <c r="J792" s="44">
        <f t="shared" si="298"/>
        <v>117.04</v>
      </c>
      <c r="K792" s="133">
        <v>1.0640000000000001</v>
      </c>
      <c r="L792" s="132">
        <v>110</v>
      </c>
      <c r="M792" s="30"/>
      <c r="N792" s="30"/>
      <c r="O792" s="30"/>
      <c r="P792" s="30"/>
      <c r="Q792" s="30"/>
      <c r="R792" s="30"/>
      <c r="S792" s="8"/>
      <c r="T792" s="8"/>
      <c r="U792" s="8"/>
      <c r="V792" s="203">
        <f>H792*107%</f>
        <v>132.99723360000002</v>
      </c>
      <c r="W792" s="266">
        <f>V792</f>
        <v>132.99723360000002</v>
      </c>
      <c r="X792" s="206">
        <f>170*106.5%</f>
        <v>181.04999999999998</v>
      </c>
    </row>
    <row r="793" spans="1:24" ht="21" customHeight="1" x14ac:dyDescent="0.25">
      <c r="A793" s="108" t="s">
        <v>208</v>
      </c>
      <c r="B793" s="422" t="s">
        <v>657</v>
      </c>
      <c r="C793" s="423"/>
      <c r="D793" s="423"/>
      <c r="E793" s="423"/>
      <c r="F793" s="423"/>
      <c r="G793" s="423"/>
      <c r="H793" s="423"/>
      <c r="I793" s="423"/>
      <c r="J793" s="424"/>
      <c r="K793" s="70"/>
      <c r="L793" s="132"/>
      <c r="M793" s="30"/>
      <c r="N793" s="30"/>
      <c r="O793" s="30"/>
      <c r="P793" s="30"/>
      <c r="Q793" s="30"/>
      <c r="R793" s="30"/>
      <c r="S793" s="8"/>
      <c r="T793" s="8"/>
      <c r="U793" s="8"/>
      <c r="V793" s="15"/>
      <c r="X793" s="206"/>
    </row>
    <row r="794" spans="1:24" ht="18.75" customHeight="1" x14ac:dyDescent="0.25">
      <c r="A794" s="108"/>
      <c r="B794" s="33" t="s">
        <v>658</v>
      </c>
      <c r="C794" s="35"/>
      <c r="F794" s="8"/>
      <c r="G794" s="30"/>
      <c r="H794" s="53">
        <f>J794*I794</f>
        <v>49.718592000000008</v>
      </c>
      <c r="I794" s="70">
        <v>1.0620000000000001</v>
      </c>
      <c r="J794" s="44">
        <f t="shared" si="298"/>
        <v>46.816000000000003</v>
      </c>
      <c r="K794" s="70">
        <v>1.0640000000000001</v>
      </c>
      <c r="L794" s="132">
        <v>44</v>
      </c>
      <c r="M794" s="30"/>
      <c r="N794" s="30"/>
      <c r="O794" s="30"/>
      <c r="P794" s="30"/>
      <c r="Q794" s="30"/>
      <c r="R794" s="30"/>
      <c r="S794" s="8"/>
      <c r="T794" s="8"/>
      <c r="U794" s="8"/>
      <c r="V794" s="203">
        <f>H794*107%</f>
        <v>53.198893440000013</v>
      </c>
      <c r="W794" s="266">
        <f>V794</f>
        <v>53.198893440000013</v>
      </c>
      <c r="X794" s="206">
        <f>69*106.5%</f>
        <v>73.484999999999999</v>
      </c>
    </row>
    <row r="795" spans="1:24" ht="15" customHeight="1" x14ac:dyDescent="0.25">
      <c r="A795" s="108" t="s">
        <v>209</v>
      </c>
      <c r="B795" s="33" t="s">
        <v>36</v>
      </c>
      <c r="C795" s="35"/>
      <c r="F795" s="8"/>
      <c r="G795" s="30"/>
      <c r="H795" s="53">
        <f>J795*I795</f>
        <v>49.718592000000008</v>
      </c>
      <c r="I795" s="70">
        <v>1.0620000000000001</v>
      </c>
      <c r="J795" s="44">
        <f t="shared" si="298"/>
        <v>46.816000000000003</v>
      </c>
      <c r="K795" s="70">
        <v>1.0640000000000001</v>
      </c>
      <c r="L795" s="132">
        <v>44</v>
      </c>
      <c r="M795" s="30"/>
      <c r="N795" s="30"/>
      <c r="O795" s="30"/>
      <c r="P795" s="30"/>
      <c r="Q795" s="30"/>
      <c r="R795" s="30"/>
      <c r="S795" s="8"/>
      <c r="T795" s="8"/>
      <c r="U795" s="8"/>
      <c r="V795" s="203">
        <f>H795*107%</f>
        <v>53.198893440000013</v>
      </c>
      <c r="W795" s="266">
        <f>V795</f>
        <v>53.198893440000013</v>
      </c>
      <c r="X795" s="206">
        <f>69*106.5%</f>
        <v>73.484999999999999</v>
      </c>
    </row>
    <row r="796" spans="1:24" x14ac:dyDescent="0.25">
      <c r="A796" s="108" t="s">
        <v>210</v>
      </c>
      <c r="B796" s="33" t="s">
        <v>37</v>
      </c>
      <c r="C796" s="35"/>
      <c r="F796" s="8"/>
      <c r="G796" s="30"/>
      <c r="H796" s="53">
        <f>J796*I796</f>
        <v>12.429648000000002</v>
      </c>
      <c r="I796" s="70">
        <v>1.0620000000000001</v>
      </c>
      <c r="J796" s="44">
        <f t="shared" si="298"/>
        <v>11.704000000000001</v>
      </c>
      <c r="K796" s="70">
        <v>1.0640000000000001</v>
      </c>
      <c r="L796" s="132">
        <v>11</v>
      </c>
      <c r="M796" s="30"/>
      <c r="N796" s="30"/>
      <c r="O796" s="30"/>
      <c r="P796" s="30"/>
      <c r="Q796" s="30"/>
      <c r="R796" s="30"/>
      <c r="S796" s="8"/>
      <c r="T796" s="8"/>
      <c r="U796" s="8"/>
      <c r="V796" s="203">
        <f>H796*107%</f>
        <v>13.299723360000003</v>
      </c>
      <c r="W796" s="266">
        <f>V796</f>
        <v>13.299723360000003</v>
      </c>
      <c r="X796" s="206">
        <f>18*106.5%</f>
        <v>19.169999999999998</v>
      </c>
    </row>
    <row r="797" spans="1:24" x14ac:dyDescent="0.25">
      <c r="A797" s="108" t="s">
        <v>211</v>
      </c>
      <c r="B797" s="33" t="s">
        <v>38</v>
      </c>
      <c r="C797" s="35"/>
      <c r="F797" s="8"/>
      <c r="G797" s="30"/>
      <c r="H797" s="53">
        <f>J797*I797</f>
        <v>12.429648000000002</v>
      </c>
      <c r="I797" s="70">
        <v>1.0620000000000001</v>
      </c>
      <c r="J797" s="44">
        <f t="shared" si="298"/>
        <v>11.704000000000001</v>
      </c>
      <c r="K797" s="70">
        <v>1.0640000000000001</v>
      </c>
      <c r="L797" s="132">
        <v>11</v>
      </c>
      <c r="M797" s="30"/>
      <c r="N797" s="30"/>
      <c r="O797" s="30"/>
      <c r="P797" s="30"/>
      <c r="Q797" s="30"/>
      <c r="R797" s="30"/>
      <c r="S797" s="8"/>
      <c r="T797" s="8"/>
      <c r="U797" s="8"/>
      <c r="V797" s="203">
        <f>H797*107%</f>
        <v>13.299723360000003</v>
      </c>
      <c r="W797" s="266">
        <f>V797</f>
        <v>13.299723360000003</v>
      </c>
      <c r="X797" s="206">
        <f>18*106.5%</f>
        <v>19.169999999999998</v>
      </c>
    </row>
    <row r="798" spans="1:24" x14ac:dyDescent="0.25">
      <c r="A798" s="277" t="s">
        <v>887</v>
      </c>
      <c r="B798" s="208" t="s">
        <v>888</v>
      </c>
      <c r="C798" s="178"/>
      <c r="F798" s="8"/>
      <c r="G798" s="30"/>
      <c r="H798" s="179"/>
      <c r="I798" s="212"/>
      <c r="J798" s="211"/>
      <c r="K798" s="212"/>
      <c r="L798" s="238"/>
      <c r="M798" s="30"/>
      <c r="N798" s="30"/>
      <c r="O798" s="30"/>
      <c r="P798" s="30"/>
      <c r="Q798" s="30"/>
      <c r="R798" s="30"/>
      <c r="S798" s="8"/>
      <c r="T798" s="8"/>
      <c r="U798" s="8"/>
      <c r="V798" s="203"/>
      <c r="W798" s="266"/>
      <c r="X798" s="206">
        <f>17*106.5%</f>
        <v>18.105</v>
      </c>
    </row>
    <row r="799" spans="1:24" ht="90" x14ac:dyDescent="0.25">
      <c r="A799" s="290" t="s">
        <v>212</v>
      </c>
      <c r="B799" s="177" t="s">
        <v>721</v>
      </c>
      <c r="C799" s="178"/>
      <c r="F799" s="8"/>
      <c r="G799" s="30"/>
      <c r="H799" s="205">
        <f>J799*I799</f>
        <v>3556.0092960000006</v>
      </c>
      <c r="I799" s="212">
        <v>1.0620000000000001</v>
      </c>
      <c r="J799" s="211">
        <f t="shared" si="298"/>
        <v>3348.4080000000004</v>
      </c>
      <c r="K799" s="237">
        <v>1.0640000000000001</v>
      </c>
      <c r="L799" s="238">
        <v>3147</v>
      </c>
      <c r="M799" s="30"/>
      <c r="N799" s="30"/>
      <c r="O799" s="30"/>
      <c r="P799" s="30"/>
      <c r="Q799" s="30"/>
      <c r="R799" s="30"/>
      <c r="S799" s="8"/>
      <c r="T799" s="8"/>
      <c r="U799" s="8"/>
      <c r="V799" s="203">
        <f>H799*107%</f>
        <v>3804.9299467200008</v>
      </c>
      <c r="W799" s="266">
        <f>V799</f>
        <v>3804.9299467200008</v>
      </c>
      <c r="X799" s="206">
        <f>4879*106.5%</f>
        <v>5196.1349999999993</v>
      </c>
    </row>
    <row r="800" spans="1:24" x14ac:dyDescent="0.25">
      <c r="A800" s="128" t="s">
        <v>213</v>
      </c>
      <c r="B800" s="145" t="s">
        <v>664</v>
      </c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30"/>
      <c r="N800" s="30"/>
      <c r="O800" s="30"/>
      <c r="P800" s="30"/>
      <c r="Q800" s="30"/>
      <c r="R800" s="30"/>
      <c r="S800" s="8"/>
      <c r="T800" s="8"/>
      <c r="U800" s="8"/>
      <c r="X800" s="206"/>
    </row>
    <row r="801" spans="1:24" x14ac:dyDescent="0.25">
      <c r="A801" s="128"/>
      <c r="B801" s="239" t="s">
        <v>713</v>
      </c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30"/>
      <c r="N801" s="30"/>
      <c r="O801" s="30"/>
      <c r="P801" s="30"/>
      <c r="Q801" s="30"/>
      <c r="R801" s="30"/>
      <c r="S801" s="8"/>
      <c r="T801" s="8"/>
      <c r="U801" s="8"/>
      <c r="W801" s="228"/>
      <c r="X801" s="206"/>
    </row>
    <row r="802" spans="1:24" ht="29.25" customHeight="1" x14ac:dyDescent="0.25">
      <c r="A802" s="173"/>
      <c r="B802" s="425" t="s">
        <v>853</v>
      </c>
      <c r="C802" s="426"/>
      <c r="D802" s="426"/>
      <c r="E802" s="426"/>
      <c r="F802" s="426"/>
      <c r="G802" s="426"/>
      <c r="H802" s="426"/>
      <c r="I802" s="427"/>
      <c r="J802" s="30"/>
      <c r="K802" s="30"/>
      <c r="L802" s="30"/>
      <c r="M802" s="30"/>
      <c r="N802" s="30"/>
      <c r="O802" s="30"/>
      <c r="P802" s="30"/>
      <c r="Q802" s="30"/>
      <c r="R802" s="30"/>
      <c r="S802" s="8"/>
      <c r="T802" s="8"/>
      <c r="V802" s="203"/>
      <c r="W802" s="276"/>
      <c r="X802" s="206"/>
    </row>
    <row r="803" spans="1:24" x14ac:dyDescent="0.25">
      <c r="A803" s="173" t="s">
        <v>854</v>
      </c>
      <c r="B803" s="174" t="s">
        <v>855</v>
      </c>
      <c r="C803" s="271"/>
      <c r="D803" s="271"/>
      <c r="E803" s="272"/>
      <c r="F803" s="273"/>
      <c r="G803" s="274"/>
      <c r="H803" s="275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8"/>
      <c r="T803" s="8"/>
      <c r="V803" s="203"/>
      <c r="W803" s="276"/>
      <c r="X803" s="206"/>
    </row>
    <row r="804" spans="1:24" x14ac:dyDescent="0.25">
      <c r="A804" s="173"/>
      <c r="B804" s="174" t="s">
        <v>856</v>
      </c>
      <c r="C804" s="271"/>
      <c r="D804" s="271"/>
      <c r="E804" s="272"/>
      <c r="F804" s="273"/>
      <c r="G804" s="274"/>
      <c r="H804" s="275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8"/>
      <c r="T804" s="8"/>
      <c r="V804" s="203"/>
      <c r="W804" s="276"/>
      <c r="X804" s="206">
        <f>17*106.5%</f>
        <v>18.105</v>
      </c>
    </row>
    <row r="805" spans="1:24" x14ac:dyDescent="0.25">
      <c r="A805" s="173" t="s">
        <v>857</v>
      </c>
      <c r="B805" s="174" t="s">
        <v>858</v>
      </c>
      <c r="C805" s="271"/>
      <c r="D805" s="271"/>
      <c r="E805" s="272"/>
      <c r="F805" s="273"/>
      <c r="G805" s="274"/>
      <c r="H805" s="275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8"/>
      <c r="T805" s="8"/>
      <c r="V805" s="203"/>
      <c r="W805" s="276"/>
      <c r="X805" s="206"/>
    </row>
    <row r="806" spans="1:24" x14ac:dyDescent="0.25">
      <c r="A806" s="173"/>
      <c r="B806" s="174" t="s">
        <v>859</v>
      </c>
      <c r="C806" s="271"/>
      <c r="D806" s="271"/>
      <c r="E806" s="272"/>
      <c r="F806" s="273"/>
      <c r="G806" s="274"/>
      <c r="H806" s="275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8"/>
      <c r="T806" s="8"/>
      <c r="V806" s="203"/>
      <c r="W806" s="276"/>
      <c r="X806" s="206">
        <f>17*106.5%</f>
        <v>18.105</v>
      </c>
    </row>
    <row r="807" spans="1:24" x14ac:dyDescent="0.25">
      <c r="A807" s="173" t="s">
        <v>860</v>
      </c>
      <c r="B807" s="174" t="s">
        <v>861</v>
      </c>
      <c r="C807" s="271"/>
      <c r="D807" s="271"/>
      <c r="E807" s="272"/>
      <c r="F807" s="273"/>
      <c r="G807" s="274"/>
      <c r="H807" s="275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8"/>
      <c r="T807" s="8"/>
      <c r="V807" s="203"/>
      <c r="W807" s="276"/>
      <c r="X807" s="206"/>
    </row>
    <row r="808" spans="1:24" x14ac:dyDescent="0.25">
      <c r="A808" s="435"/>
      <c r="B808" s="174" t="s">
        <v>862</v>
      </c>
      <c r="C808" s="271"/>
      <c r="D808" s="271"/>
      <c r="E808" s="272"/>
      <c r="F808" s="273"/>
      <c r="G808" s="274"/>
      <c r="H808" s="275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8"/>
      <c r="T808" s="8"/>
      <c r="V808" s="203"/>
      <c r="W808" s="276"/>
      <c r="X808" s="206">
        <f>17*106.5%</f>
        <v>18.105</v>
      </c>
    </row>
    <row r="809" spans="1:24" x14ac:dyDescent="0.25">
      <c r="A809" s="397"/>
      <c r="B809" s="174" t="s">
        <v>863</v>
      </c>
      <c r="C809" s="271"/>
      <c r="D809" s="271"/>
      <c r="E809" s="272"/>
      <c r="F809" s="273"/>
      <c r="G809" s="274"/>
      <c r="H809" s="275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8"/>
      <c r="T809" s="8"/>
      <c r="V809" s="203"/>
      <c r="W809" s="276"/>
      <c r="X809" s="206">
        <f>17*106.5%</f>
        <v>18.105</v>
      </c>
    </row>
    <row r="810" spans="1:24" ht="30" x14ac:dyDescent="0.25">
      <c r="A810" s="173" t="s">
        <v>864</v>
      </c>
      <c r="B810" s="174" t="s">
        <v>865</v>
      </c>
      <c r="C810" s="271"/>
      <c r="D810" s="271"/>
      <c r="E810" s="272"/>
      <c r="F810" s="273"/>
      <c r="G810" s="274"/>
      <c r="H810" s="275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8"/>
      <c r="T810" s="8"/>
      <c r="V810" s="203"/>
      <c r="W810" s="276"/>
      <c r="X810" s="206"/>
    </row>
    <row r="811" spans="1:24" x14ac:dyDescent="0.25">
      <c r="A811" s="435"/>
      <c r="B811" s="174" t="s">
        <v>866</v>
      </c>
      <c r="C811" s="271"/>
      <c r="D811" s="271"/>
      <c r="E811" s="272"/>
      <c r="F811" s="273"/>
      <c r="G811" s="274"/>
      <c r="H811" s="275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8"/>
      <c r="T811" s="8"/>
      <c r="V811" s="203"/>
      <c r="W811" s="276"/>
      <c r="X811" s="206">
        <f>17*106.5%</f>
        <v>18.105</v>
      </c>
    </row>
    <row r="812" spans="1:24" x14ac:dyDescent="0.25">
      <c r="A812" s="396"/>
      <c r="B812" s="174" t="s">
        <v>867</v>
      </c>
      <c r="C812" s="271"/>
      <c r="D812" s="271"/>
      <c r="E812" s="272"/>
      <c r="F812" s="273"/>
      <c r="G812" s="274"/>
      <c r="H812" s="275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8"/>
      <c r="T812" s="8"/>
      <c r="V812" s="203"/>
      <c r="W812" s="276"/>
      <c r="X812" s="206">
        <f t="shared" ref="X812:X816" si="299">17*106.5%</f>
        <v>18.105</v>
      </c>
    </row>
    <row r="813" spans="1:24" x14ac:dyDescent="0.25">
      <c r="A813" s="396"/>
      <c r="B813" s="174" t="s">
        <v>868</v>
      </c>
      <c r="C813" s="271"/>
      <c r="D813" s="271"/>
      <c r="E813" s="272"/>
      <c r="F813" s="273"/>
      <c r="G813" s="274"/>
      <c r="H813" s="275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8"/>
      <c r="T813" s="8"/>
      <c r="V813" s="203"/>
      <c r="W813" s="276"/>
      <c r="X813" s="206">
        <f t="shared" si="299"/>
        <v>18.105</v>
      </c>
    </row>
    <row r="814" spans="1:24" x14ac:dyDescent="0.25">
      <c r="A814" s="396"/>
      <c r="B814" s="174" t="s">
        <v>869</v>
      </c>
      <c r="C814" s="271"/>
      <c r="D814" s="271"/>
      <c r="E814" s="272"/>
      <c r="F814" s="273"/>
      <c r="G814" s="274"/>
      <c r="H814" s="275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8"/>
      <c r="T814" s="8"/>
      <c r="V814" s="203"/>
      <c r="W814" s="276"/>
      <c r="X814" s="206">
        <f t="shared" si="299"/>
        <v>18.105</v>
      </c>
    </row>
    <row r="815" spans="1:24" x14ac:dyDescent="0.25">
      <c r="A815" s="396"/>
      <c r="B815" s="174" t="s">
        <v>870</v>
      </c>
      <c r="C815" s="271"/>
      <c r="D815" s="271"/>
      <c r="E815" s="272"/>
      <c r="F815" s="273"/>
      <c r="G815" s="274"/>
      <c r="H815" s="275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8"/>
      <c r="T815" s="8"/>
      <c r="V815" s="203"/>
      <c r="W815" s="276"/>
      <c r="X815" s="206">
        <f t="shared" si="299"/>
        <v>18.105</v>
      </c>
    </row>
    <row r="816" spans="1:24" x14ac:dyDescent="0.25">
      <c r="A816" s="397"/>
      <c r="B816" s="174" t="s">
        <v>871</v>
      </c>
      <c r="C816" s="271"/>
      <c r="D816" s="271"/>
      <c r="E816" s="272"/>
      <c r="F816" s="273"/>
      <c r="G816" s="274"/>
      <c r="H816" s="275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8"/>
      <c r="T816" s="8"/>
      <c r="V816" s="203"/>
      <c r="W816" s="276"/>
      <c r="X816" s="206">
        <f t="shared" si="299"/>
        <v>18.105</v>
      </c>
    </row>
    <row r="817" spans="1:24" x14ac:dyDescent="0.25">
      <c r="A817" s="173" t="s">
        <v>872</v>
      </c>
      <c r="B817" s="174" t="s">
        <v>873</v>
      </c>
      <c r="C817" s="271"/>
      <c r="D817" s="271"/>
      <c r="E817" s="272"/>
      <c r="F817" s="273"/>
      <c r="G817" s="274"/>
      <c r="H817" s="275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8"/>
      <c r="T817" s="8"/>
      <c r="V817" s="203"/>
      <c r="W817" s="276"/>
      <c r="X817" s="206"/>
    </row>
    <row r="818" spans="1:24" x14ac:dyDescent="0.25">
      <c r="A818" s="435"/>
      <c r="B818" s="174" t="s">
        <v>874</v>
      </c>
      <c r="C818" s="271"/>
      <c r="D818" s="271"/>
      <c r="E818" s="272"/>
      <c r="F818" s="273"/>
      <c r="G818" s="274"/>
      <c r="H818" s="275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8"/>
      <c r="T818" s="8"/>
      <c r="V818" s="203"/>
      <c r="W818" s="276"/>
      <c r="X818" s="206">
        <f>17*106.5%</f>
        <v>18.105</v>
      </c>
    </row>
    <row r="819" spans="1:24" x14ac:dyDescent="0.25">
      <c r="A819" s="397"/>
      <c r="B819" s="174" t="s">
        <v>875</v>
      </c>
      <c r="C819" s="271"/>
      <c r="D819" s="271"/>
      <c r="E819" s="272"/>
      <c r="F819" s="273"/>
      <c r="G819" s="274"/>
      <c r="H819" s="275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8"/>
      <c r="T819" s="8"/>
      <c r="V819" s="203"/>
      <c r="W819" s="276"/>
      <c r="X819" s="206">
        <f>17*106.5%</f>
        <v>18.105</v>
      </c>
    </row>
    <row r="820" spans="1:24" x14ac:dyDescent="0.25">
      <c r="A820" s="173" t="s">
        <v>876</v>
      </c>
      <c r="B820" s="174" t="s">
        <v>877</v>
      </c>
      <c r="C820" s="271"/>
      <c r="D820" s="271"/>
      <c r="E820" s="272"/>
      <c r="F820" s="273"/>
      <c r="G820" s="274"/>
      <c r="H820" s="275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8"/>
      <c r="T820" s="8"/>
      <c r="V820" s="203"/>
      <c r="W820" s="276"/>
      <c r="X820" s="206"/>
    </row>
    <row r="821" spans="1:24" x14ac:dyDescent="0.25">
      <c r="A821" s="435"/>
      <c r="B821" s="174" t="s">
        <v>878</v>
      </c>
      <c r="C821" s="271"/>
      <c r="D821" s="271"/>
      <c r="E821" s="272"/>
      <c r="F821" s="273"/>
      <c r="G821" s="274"/>
      <c r="H821" s="275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8"/>
      <c r="T821" s="8"/>
      <c r="V821" s="203"/>
      <c r="W821" s="276"/>
      <c r="X821" s="206">
        <f>17*106.5%</f>
        <v>18.105</v>
      </c>
    </row>
    <row r="822" spans="1:24" x14ac:dyDescent="0.25">
      <c r="A822" s="396"/>
      <c r="B822" s="174" t="s">
        <v>879</v>
      </c>
      <c r="C822" s="271"/>
      <c r="D822" s="271"/>
      <c r="E822" s="272"/>
      <c r="F822" s="273"/>
      <c r="G822" s="274"/>
      <c r="H822" s="275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8"/>
      <c r="T822" s="8"/>
      <c r="V822" s="203"/>
      <c r="W822" s="276"/>
      <c r="X822" s="206">
        <f t="shared" ref="X822:X825" si="300">17*106.5%</f>
        <v>18.105</v>
      </c>
    </row>
    <row r="823" spans="1:24" x14ac:dyDescent="0.25">
      <c r="A823" s="396"/>
      <c r="B823" s="174" t="s">
        <v>880</v>
      </c>
      <c r="C823" s="271"/>
      <c r="D823" s="271"/>
      <c r="E823" s="272"/>
      <c r="F823" s="273"/>
      <c r="G823" s="274"/>
      <c r="H823" s="275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8"/>
      <c r="T823" s="8"/>
      <c r="V823" s="203"/>
      <c r="W823" s="276"/>
      <c r="X823" s="206">
        <f t="shared" si="300"/>
        <v>18.105</v>
      </c>
    </row>
    <row r="824" spans="1:24" x14ac:dyDescent="0.25">
      <c r="A824" s="396"/>
      <c r="B824" s="174" t="s">
        <v>881</v>
      </c>
      <c r="C824" s="271"/>
      <c r="D824" s="271"/>
      <c r="E824" s="272"/>
      <c r="F824" s="273"/>
      <c r="G824" s="274"/>
      <c r="H824" s="275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8"/>
      <c r="T824" s="8"/>
      <c r="V824" s="203"/>
      <c r="W824" s="276"/>
      <c r="X824" s="206">
        <f t="shared" si="300"/>
        <v>18.105</v>
      </c>
    </row>
    <row r="825" spans="1:24" x14ac:dyDescent="0.25">
      <c r="A825" s="397"/>
      <c r="B825" s="174" t="s">
        <v>882</v>
      </c>
      <c r="C825" s="271"/>
      <c r="D825" s="271"/>
      <c r="E825" s="272"/>
      <c r="F825" s="273"/>
      <c r="G825" s="274"/>
      <c r="H825" s="275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8"/>
      <c r="T825" s="8"/>
      <c r="V825" s="203"/>
      <c r="W825" s="276"/>
      <c r="X825" s="206">
        <f t="shared" si="300"/>
        <v>18.105</v>
      </c>
    </row>
    <row r="826" spans="1:24" x14ac:dyDescent="0.25">
      <c r="A826" s="173" t="s">
        <v>883</v>
      </c>
      <c r="B826" s="174" t="s">
        <v>884</v>
      </c>
      <c r="C826" s="271"/>
      <c r="D826" s="271"/>
      <c r="E826" s="272"/>
      <c r="F826" s="273"/>
      <c r="G826" s="274"/>
      <c r="H826" s="275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8"/>
      <c r="T826" s="8"/>
      <c r="V826" s="203"/>
      <c r="W826" s="276"/>
      <c r="X826" s="206"/>
    </row>
    <row r="827" spans="1:24" x14ac:dyDescent="0.25">
      <c r="A827" s="173"/>
      <c r="B827" s="174" t="s">
        <v>885</v>
      </c>
      <c r="C827" s="271"/>
      <c r="D827" s="271"/>
      <c r="E827" s="272"/>
      <c r="F827" s="273"/>
      <c r="G827" s="274"/>
      <c r="H827" s="275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8"/>
      <c r="T827" s="8"/>
      <c r="V827" s="203"/>
      <c r="W827" s="276"/>
      <c r="X827" s="206">
        <f>17*106.5%</f>
        <v>18.105</v>
      </c>
    </row>
    <row r="828" spans="1:24" x14ac:dyDescent="0.25">
      <c r="A828" s="173"/>
      <c r="B828" s="174"/>
      <c r="C828" s="271"/>
      <c r="D828" s="271"/>
      <c r="E828" s="272"/>
      <c r="F828" s="273"/>
      <c r="G828" s="274"/>
      <c r="H828" s="275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8"/>
      <c r="T828" s="8"/>
      <c r="V828" s="203"/>
      <c r="W828" s="276"/>
      <c r="X828" s="206"/>
    </row>
    <row r="829" spans="1:24" x14ac:dyDescent="0.25">
      <c r="A829" s="197"/>
      <c r="B829" s="191" t="s">
        <v>830</v>
      </c>
      <c r="C829" s="192"/>
      <c r="D829" s="192"/>
      <c r="E829" s="193"/>
      <c r="F829" s="194"/>
      <c r="G829" s="195"/>
      <c r="H829" s="185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8"/>
      <c r="T829" s="8"/>
      <c r="W829" s="192"/>
      <c r="X829" s="85"/>
    </row>
    <row r="830" spans="1:24" ht="11.45" customHeight="1" x14ac:dyDescent="0.25">
      <c r="A830" s="188"/>
      <c r="B830" s="189"/>
      <c r="F830" s="8"/>
      <c r="G830" s="30"/>
      <c r="H830" s="186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8"/>
      <c r="T830" s="8"/>
      <c r="X830" s="85"/>
    </row>
    <row r="831" spans="1:24" ht="25.7" customHeight="1" x14ac:dyDescent="0.25">
      <c r="A831" s="188"/>
      <c r="B831" s="196" t="s">
        <v>938</v>
      </c>
      <c r="F831" s="8"/>
      <c r="G831" s="30"/>
      <c r="H831" s="186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8"/>
      <c r="T831" s="8"/>
      <c r="X831" s="419"/>
    </row>
    <row r="832" spans="1:24" ht="45" x14ac:dyDescent="0.25">
      <c r="A832" s="189"/>
      <c r="B832" s="257" t="s">
        <v>939</v>
      </c>
      <c r="F832" s="8"/>
      <c r="G832" s="30"/>
      <c r="H832" s="186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8"/>
      <c r="T832" s="8"/>
      <c r="W832" s="226"/>
      <c r="X832" s="420"/>
    </row>
    <row r="833" spans="1:24" ht="10.35" customHeight="1" x14ac:dyDescent="0.25">
      <c r="A833" s="189"/>
      <c r="B833" s="258"/>
      <c r="F833" s="8"/>
      <c r="G833" s="30"/>
      <c r="H833" s="186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8"/>
      <c r="T833" s="8"/>
      <c r="W833" s="226"/>
      <c r="X833" s="420"/>
    </row>
    <row r="834" spans="1:24" ht="8.4499999999999993" customHeight="1" x14ac:dyDescent="0.25">
      <c r="A834" s="190"/>
      <c r="B834" s="184"/>
      <c r="C834" s="180"/>
      <c r="D834" s="180"/>
      <c r="E834" s="181"/>
      <c r="F834" s="182"/>
      <c r="G834" s="183"/>
      <c r="H834" s="187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8"/>
      <c r="T834" s="8"/>
      <c r="W834" s="227"/>
      <c r="X834" s="421"/>
    </row>
    <row r="835" spans="1:24" x14ac:dyDescent="0.25">
      <c r="F835" s="8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8"/>
      <c r="T835" s="8"/>
    </row>
    <row r="836" spans="1:24" ht="12.75" x14ac:dyDescent="0.2">
      <c r="E836"/>
      <c r="F836" s="8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8"/>
      <c r="T836" s="8"/>
      <c r="U836"/>
      <c r="V836"/>
    </row>
    <row r="837" spans="1:24" ht="12.75" x14ac:dyDescent="0.2">
      <c r="E837"/>
      <c r="F837" s="8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8"/>
      <c r="T837" s="8"/>
      <c r="U837"/>
      <c r="V837"/>
    </row>
  </sheetData>
  <mergeCells count="248">
    <mergeCell ref="X831:X834"/>
    <mergeCell ref="B793:J793"/>
    <mergeCell ref="B802:I802"/>
    <mergeCell ref="B767:J767"/>
    <mergeCell ref="A773:A776"/>
    <mergeCell ref="B773:J773"/>
    <mergeCell ref="B782:J782"/>
    <mergeCell ref="B783:J783"/>
    <mergeCell ref="B791:J791"/>
    <mergeCell ref="A784:A785"/>
    <mergeCell ref="A808:A809"/>
    <mergeCell ref="A811:A816"/>
    <mergeCell ref="A818:A819"/>
    <mergeCell ref="A821:A825"/>
    <mergeCell ref="B732:J732"/>
    <mergeCell ref="A733:A745"/>
    <mergeCell ref="B733:J733"/>
    <mergeCell ref="B746:J746"/>
    <mergeCell ref="B757:J757"/>
    <mergeCell ref="B760:J760"/>
    <mergeCell ref="B689:H689"/>
    <mergeCell ref="A714:A717"/>
    <mergeCell ref="B714:J714"/>
    <mergeCell ref="B718:J718"/>
    <mergeCell ref="A719:A731"/>
    <mergeCell ref="B719:J719"/>
    <mergeCell ref="B675:J675"/>
    <mergeCell ref="A676:A682"/>
    <mergeCell ref="B676:J676"/>
    <mergeCell ref="A683:A687"/>
    <mergeCell ref="B683:J683"/>
    <mergeCell ref="B688:J688"/>
    <mergeCell ref="A656:A657"/>
    <mergeCell ref="B656:J656"/>
    <mergeCell ref="A658:A670"/>
    <mergeCell ref="B658:J658"/>
    <mergeCell ref="A671:A674"/>
    <mergeCell ref="B671:J671"/>
    <mergeCell ref="A627:A635"/>
    <mergeCell ref="B627:J627"/>
    <mergeCell ref="A636:A645"/>
    <mergeCell ref="B636:J636"/>
    <mergeCell ref="A646:A655"/>
    <mergeCell ref="B646:J646"/>
    <mergeCell ref="A603:A612"/>
    <mergeCell ref="B603:J603"/>
    <mergeCell ref="B614:J614"/>
    <mergeCell ref="A615:A621"/>
    <mergeCell ref="B615:J615"/>
    <mergeCell ref="A622:A626"/>
    <mergeCell ref="B622:J622"/>
    <mergeCell ref="A573:A578"/>
    <mergeCell ref="B573:J573"/>
    <mergeCell ref="A579:A595"/>
    <mergeCell ref="B579:J579"/>
    <mergeCell ref="A596:A602"/>
    <mergeCell ref="B596:J596"/>
    <mergeCell ref="A552:A555"/>
    <mergeCell ref="B552:J552"/>
    <mergeCell ref="A560:A564"/>
    <mergeCell ref="B560:J560"/>
    <mergeCell ref="A571:J571"/>
    <mergeCell ref="B572:J572"/>
    <mergeCell ref="B537:J537"/>
    <mergeCell ref="A545:A548"/>
    <mergeCell ref="B545:J545"/>
    <mergeCell ref="A549:A550"/>
    <mergeCell ref="B549:J549"/>
    <mergeCell ref="B551:J551"/>
    <mergeCell ref="A517:J517"/>
    <mergeCell ref="B518:J518"/>
    <mergeCell ref="A525:J525"/>
    <mergeCell ref="B526:J526"/>
    <mergeCell ref="B531:J531"/>
    <mergeCell ref="B534:J534"/>
    <mergeCell ref="A519:A521"/>
    <mergeCell ref="A527:A530"/>
    <mergeCell ref="A532:A533"/>
    <mergeCell ref="A535:A536"/>
    <mergeCell ref="A538:A543"/>
    <mergeCell ref="A475:A480"/>
    <mergeCell ref="B475:J475"/>
    <mergeCell ref="B481:J481"/>
    <mergeCell ref="B494:J494"/>
    <mergeCell ref="B503:J503"/>
    <mergeCell ref="A516:J516"/>
    <mergeCell ref="A459:A467"/>
    <mergeCell ref="B459:J459"/>
    <mergeCell ref="A468:A471"/>
    <mergeCell ref="B468:J468"/>
    <mergeCell ref="A472:A474"/>
    <mergeCell ref="B472:J472"/>
    <mergeCell ref="A482:A492"/>
    <mergeCell ref="A495:A502"/>
    <mergeCell ref="A504:A511"/>
    <mergeCell ref="A437:A440"/>
    <mergeCell ref="B437:J437"/>
    <mergeCell ref="A441:A448"/>
    <mergeCell ref="B441:J441"/>
    <mergeCell ref="A449:A458"/>
    <mergeCell ref="B449:J449"/>
    <mergeCell ref="A379:A383"/>
    <mergeCell ref="B379:J379"/>
    <mergeCell ref="A391:J391"/>
    <mergeCell ref="A393:A408"/>
    <mergeCell ref="B393:J393"/>
    <mergeCell ref="A409:A426"/>
    <mergeCell ref="B409:J409"/>
    <mergeCell ref="A428:A433"/>
    <mergeCell ref="A435:A436"/>
    <mergeCell ref="A359:A365"/>
    <mergeCell ref="B359:J359"/>
    <mergeCell ref="A368:J368"/>
    <mergeCell ref="A369:J369"/>
    <mergeCell ref="A370:A378"/>
    <mergeCell ref="B370:J370"/>
    <mergeCell ref="A351:A352"/>
    <mergeCell ref="B351:J351"/>
    <mergeCell ref="A353:A354"/>
    <mergeCell ref="B353:J353"/>
    <mergeCell ref="A355:A358"/>
    <mergeCell ref="B355:J355"/>
    <mergeCell ref="A323:A326"/>
    <mergeCell ref="B323:J323"/>
    <mergeCell ref="A327:A331"/>
    <mergeCell ref="B327:J327"/>
    <mergeCell ref="A332:A333"/>
    <mergeCell ref="A346:A350"/>
    <mergeCell ref="B346:J346"/>
    <mergeCell ref="A307:A310"/>
    <mergeCell ref="B307:J307"/>
    <mergeCell ref="A311:A314"/>
    <mergeCell ref="B311:J311"/>
    <mergeCell ref="A317:A322"/>
    <mergeCell ref="B317:J317"/>
    <mergeCell ref="A297:A299"/>
    <mergeCell ref="B297:J297"/>
    <mergeCell ref="A300:A303"/>
    <mergeCell ref="B300:J300"/>
    <mergeCell ref="A305:J305"/>
    <mergeCell ref="B306:J306"/>
    <mergeCell ref="A281:A283"/>
    <mergeCell ref="B281:J281"/>
    <mergeCell ref="A288:A290"/>
    <mergeCell ref="B288:J288"/>
    <mergeCell ref="A294:A296"/>
    <mergeCell ref="B294:J294"/>
    <mergeCell ref="B271:J271"/>
    <mergeCell ref="A275:J275"/>
    <mergeCell ref="A276:J276"/>
    <mergeCell ref="B277:J277"/>
    <mergeCell ref="A278:A280"/>
    <mergeCell ref="B278:J278"/>
    <mergeCell ref="A228:A234"/>
    <mergeCell ref="B228:J228"/>
    <mergeCell ref="A249:A252"/>
    <mergeCell ref="B249:J249"/>
    <mergeCell ref="A262:A265"/>
    <mergeCell ref="B262:J262"/>
    <mergeCell ref="A253:A256"/>
    <mergeCell ref="B253:J253"/>
    <mergeCell ref="A216:A218"/>
    <mergeCell ref="B216:J216"/>
    <mergeCell ref="A219:A221"/>
    <mergeCell ref="B219:J219"/>
    <mergeCell ref="A222:A225"/>
    <mergeCell ref="B222:J222"/>
    <mergeCell ref="A196:A203"/>
    <mergeCell ref="B196:J196"/>
    <mergeCell ref="A204:A206"/>
    <mergeCell ref="B204:J204"/>
    <mergeCell ref="A212:A215"/>
    <mergeCell ref="B212:J212"/>
    <mergeCell ref="A183:A185"/>
    <mergeCell ref="B183:J183"/>
    <mergeCell ref="A189:A191"/>
    <mergeCell ref="B189:J189"/>
    <mergeCell ref="A192:A195"/>
    <mergeCell ref="B192:J192"/>
    <mergeCell ref="A169:A172"/>
    <mergeCell ref="B169:J169"/>
    <mergeCell ref="A173:A176"/>
    <mergeCell ref="B173:J173"/>
    <mergeCell ref="A178:A181"/>
    <mergeCell ref="B178:J178"/>
    <mergeCell ref="B186:J186"/>
    <mergeCell ref="A159:A161"/>
    <mergeCell ref="B159:J159"/>
    <mergeCell ref="A162:A165"/>
    <mergeCell ref="B162:J162"/>
    <mergeCell ref="A166:A168"/>
    <mergeCell ref="B166:J166"/>
    <mergeCell ref="A146:A148"/>
    <mergeCell ref="B146:J146"/>
    <mergeCell ref="A149:A152"/>
    <mergeCell ref="B149:J149"/>
    <mergeCell ref="A153:A155"/>
    <mergeCell ref="B153:J153"/>
    <mergeCell ref="A156:A158"/>
    <mergeCell ref="B156:J156"/>
    <mergeCell ref="A131:A134"/>
    <mergeCell ref="B131:J131"/>
    <mergeCell ref="A138:A141"/>
    <mergeCell ref="B138:J138"/>
    <mergeCell ref="A143:A145"/>
    <mergeCell ref="B143:J143"/>
    <mergeCell ref="A119:A122"/>
    <mergeCell ref="B119:J119"/>
    <mergeCell ref="A123:A126"/>
    <mergeCell ref="B123:J123"/>
    <mergeCell ref="A127:A130"/>
    <mergeCell ref="B127:J127"/>
    <mergeCell ref="A100:A103"/>
    <mergeCell ref="B100:J100"/>
    <mergeCell ref="A104:A107"/>
    <mergeCell ref="B104:J104"/>
    <mergeCell ref="A112:A115"/>
    <mergeCell ref="B112:J112"/>
    <mergeCell ref="A53:J53"/>
    <mergeCell ref="A54:A91"/>
    <mergeCell ref="B54:J54"/>
    <mergeCell ref="B92:J92"/>
    <mergeCell ref="A94:A99"/>
    <mergeCell ref="B94:J94"/>
    <mergeCell ref="A36:A39"/>
    <mergeCell ref="B36:J36"/>
    <mergeCell ref="A41:A45"/>
    <mergeCell ref="B41:J41"/>
    <mergeCell ref="A46:A49"/>
    <mergeCell ref="B46:J46"/>
    <mergeCell ref="A20:J20"/>
    <mergeCell ref="A21:J21"/>
    <mergeCell ref="A22:A27"/>
    <mergeCell ref="B22:J22"/>
    <mergeCell ref="A28:A30"/>
    <mergeCell ref="B28:J28"/>
    <mergeCell ref="A10:J10"/>
    <mergeCell ref="A11:J11"/>
    <mergeCell ref="A13:J14"/>
    <mergeCell ref="A15:J15"/>
    <mergeCell ref="A16:J16"/>
    <mergeCell ref="A17:J17"/>
    <mergeCell ref="A1:J1"/>
    <mergeCell ref="A2:J2"/>
    <mergeCell ref="A4:J4"/>
    <mergeCell ref="A7:J7"/>
    <mergeCell ref="A8:J8"/>
    <mergeCell ref="A9:J9"/>
  </mergeCells>
  <phoneticPr fontId="34" type="noConversion"/>
  <pageMargins left="0.39370078740157483" right="0" top="0.15748031496062992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индекс. 103,9 %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Мышкина Алина Олеговна</cp:lastModifiedBy>
  <cp:lastPrinted>2022-11-03T11:53:28Z</cp:lastPrinted>
  <dcterms:created xsi:type="dcterms:W3CDTF">2007-06-05T07:25:44Z</dcterms:created>
  <dcterms:modified xsi:type="dcterms:W3CDTF">2022-11-17T11:24:46Z</dcterms:modified>
</cp:coreProperties>
</file>